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unm\Desktop\"/>
    </mc:Choice>
  </mc:AlternateContent>
  <xr:revisionPtr revIDLastSave="0" documentId="8_{822427FC-FFBF-43F2-99EE-BC0477FA291D}" xr6:coauthVersionLast="36" xr6:coauthVersionMax="36" xr10:uidLastSave="{00000000-0000-0000-0000-000000000000}"/>
  <bookViews>
    <workbookView xWindow="0" yWindow="0" windowWidth="28800" windowHeight="11625"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23">Data!$Q$8</definedName>
    <definedName name="HighestRate24">Data!$Q$14</definedName>
    <definedName name="MileageRate">Data!$Z$6</definedName>
    <definedName name="MileageRateNew">Data!$AA$6</definedName>
    <definedName name="newrate">Data!$P$4:$W$14</definedName>
    <definedName name="PerDiem2324">TblAllRates[Per Diem Rate]+Data!$Q$4:$Q$14</definedName>
    <definedName name="_xlnm.Print_Area" localSheetId="1">'Travel Claim Worksheet'!$B$1:$Y$29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9" l="1"/>
  <c r="G15" i="8"/>
  <c r="G29" i="8"/>
  <c r="G16" i="8" l="1"/>
  <c r="N13" i="8"/>
  <c r="F15" i="8"/>
  <c r="F16" i="8"/>
  <c r="F17" i="8"/>
  <c r="F18" i="8"/>
  <c r="G17" i="8" l="1"/>
  <c r="Z17" i="8" s="1"/>
  <c r="G18" i="8"/>
  <c r="Z18" i="8" s="1"/>
  <c r="G19" i="8"/>
  <c r="L19" i="8" s="1"/>
  <c r="X19" i="8" s="1"/>
  <c r="G20" i="8"/>
  <c r="L20" i="8" s="1"/>
  <c r="X20" i="8" s="1"/>
  <c r="G21" i="8"/>
  <c r="L21" i="8" s="1"/>
  <c r="X21" i="8" s="1"/>
  <c r="G22" i="8"/>
  <c r="L22" i="8" s="1"/>
  <c r="X22" i="8" s="1"/>
  <c r="E6" i="8"/>
  <c r="E20" i="8"/>
  <c r="E21" i="8"/>
  <c r="E22" i="8"/>
  <c r="E23" i="8"/>
  <c r="E24" i="8"/>
  <c r="E25" i="8"/>
  <c r="E26" i="8"/>
  <c r="E27" i="8"/>
  <c r="E28" i="8"/>
  <c r="E29" i="8"/>
  <c r="E15" i="8"/>
  <c r="Z19" i="8" l="1"/>
  <c r="L18" i="8"/>
  <c r="X18" i="8" s="1"/>
  <c r="L17" i="8"/>
  <c r="X17" i="8" s="1"/>
  <c r="Z16" i="8"/>
  <c r="Z15" i="8"/>
  <c r="Z20" i="8"/>
  <c r="Z21" i="8"/>
  <c r="Z22" i="8"/>
  <c r="G23" i="8"/>
  <c r="G24" i="8"/>
  <c r="G25" i="8"/>
  <c r="F11" i="8" s="1"/>
  <c r="G26" i="8"/>
  <c r="G27" i="8"/>
  <c r="G28" i="8"/>
  <c r="F19" i="8"/>
  <c r="F20" i="8"/>
  <c r="F21" i="8"/>
  <c r="U21" i="8" s="1"/>
  <c r="F22" i="8"/>
  <c r="F23" i="8"/>
  <c r="F24" i="8"/>
  <c r="F25" i="8"/>
  <c r="F26" i="8"/>
  <c r="F27" i="8"/>
  <c r="F28" i="8"/>
  <c r="F29" i="8"/>
  <c r="O13" i="8" l="1"/>
  <c r="U29" i="8"/>
  <c r="Z24" i="8"/>
  <c r="L24" i="8"/>
  <c r="X24" i="8" s="1"/>
  <c r="Z23" i="8"/>
  <c r="L23" i="8"/>
  <c r="X23" i="8" s="1"/>
  <c r="Z29" i="8"/>
  <c r="Z28" i="8"/>
  <c r="L28" i="8"/>
  <c r="X28" i="8" s="1"/>
  <c r="Z27" i="8"/>
  <c r="L27" i="8"/>
  <c r="X27" i="8" s="1"/>
  <c r="Z26" i="8"/>
  <c r="L26" i="8"/>
  <c r="X26" i="8" s="1"/>
  <c r="Z25" i="8"/>
  <c r="L25" i="8"/>
  <c r="X25" i="8" s="1"/>
  <c r="V23" i="8"/>
  <c r="U20" i="8"/>
  <c r="V27" i="8"/>
  <c r="T26" i="8"/>
  <c r="T25" i="8"/>
  <c r="U28" i="8"/>
  <c r="W26" i="8"/>
  <c r="T20" i="8"/>
  <c r="T29" i="8"/>
  <c r="L29" i="8" s="1"/>
  <c r="X29" i="8" s="1"/>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Y13" i="8"/>
  <c r="P13" i="8" l="1"/>
  <c r="S21" i="8"/>
  <c r="AA21" i="8" s="1"/>
  <c r="S22" i="8"/>
  <c r="AA22" i="8" s="1"/>
  <c r="S23" i="8"/>
  <c r="AA23" i="8" s="1"/>
  <c r="S24" i="8"/>
  <c r="AA24" i="8" s="1"/>
  <c r="Q13" i="8"/>
  <c r="M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L16" i="8" l="1"/>
  <c r="X16" i="8" s="1"/>
  <c r="T15" i="8"/>
  <c r="U15" i="8"/>
  <c r="V15" i="8"/>
  <c r="W15" i="8"/>
  <c r="L15" i="8" l="1"/>
  <c r="X15" i="8" s="1"/>
  <c r="L13" i="8" l="1"/>
  <c r="X13" i="8" s="1"/>
  <c r="X10" i="8" s="1"/>
</calcChain>
</file>

<file path=xl/sharedStrings.xml><?xml version="1.0" encoding="utf-8"?>
<sst xmlns="http://schemas.openxmlformats.org/spreadsheetml/2006/main" count="129" uniqueCount="103">
  <si>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</si>
  <si>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</si>
  <si>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</si>
  <si>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</si>
  <si>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</si>
  <si>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</si>
  <si>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</si>
  <si>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</si>
  <si>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</si>
  <si>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</si>
  <si>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</si>
  <si>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</si>
  <si>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</si>
  <si>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</si>
  <si>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</si>
  <si>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</si>
  <si>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</si>
  <si>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</si>
  <si>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</si>
  <si>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</si>
  <si>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</si>
  <si>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</si>
  <si>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</si>
  <si>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</si>
  <si>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</si>
  <si>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</si>
  <si>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</si>
  <si>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</si>
  <si>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</si>
  <si>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</si>
  <si>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</si>
  <si>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</si>
  <si>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</si>
  <si>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</si>
  <si>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</si>
  <si>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</si>
  <si>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</si>
  <si>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</si>
  <si>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Travel Claim Worksheet</t>
  </si>
  <si>
    <t>Ground Transport*</t>
  </si>
  <si>
    <t>Miles*</t>
  </si>
  <si>
    <t>Airfare*</t>
  </si>
  <si>
    <t>Lodging*</t>
  </si>
  <si>
    <t>Business Expense*</t>
  </si>
  <si>
    <t>Travel Purpose:</t>
  </si>
  <si>
    <t>Car Rental*</t>
  </si>
  <si>
    <t xml:space="preserve">Alaska/Hawaii (DoD) or
International Rates (State Dept) </t>
  </si>
  <si>
    <t>Advance*</t>
  </si>
  <si>
    <t>Initial to validate that all expenses on this form are true and correct and that you will not be seeking reimbursement from another source.</t>
  </si>
  <si>
    <t>Provided Meals/
Meals outside of Trip</t>
  </si>
  <si>
    <t>M&amp;IE Rates/Day
based on Rate Type</t>
  </si>
  <si>
    <t>Notes (optional)</t>
  </si>
  <si>
    <t>Enter Name and ID.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</si>
  <si>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</si>
  <si>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</si>
  <si>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</si>
  <si>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</si>
  <si>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</si>
  <si>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</si>
  <si>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</si>
  <si>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</si>
  <si>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</si>
  <si>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</si>
  <si>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</si>
  <si>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</si>
  <si>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</si>
  <si>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Campus ID:</t>
  </si>
  <si>
    <t>Amount Due
to Traveler</t>
  </si>
  <si>
    <t>Instructions for completing the Travel Claim Worksheet</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</si>
  <si>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</si>
  <si>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</si>
  <si>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</si>
  <si>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</si>
  <si>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</si>
  <si>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</si>
  <si>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</si>
  <si>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</si>
  <si>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</si>
  <si>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Enter Travel Start and End Dates. (You will receive a prompt if the total number of days at top differs from the detail. The start date determines the per diem value used.)</t>
  </si>
  <si>
    <t>Modified workbook to accommodate new per diem rates effective 10/1/24)</t>
  </si>
  <si>
    <r>
      <t xml:space="preserve">Travel Date
</t>
    </r>
    <r>
      <rPr>
        <b/>
        <sz val="9"/>
        <color rgb="FFFF0000"/>
        <rFont val="Roboto"/>
      </rPr>
      <t>required</t>
    </r>
  </si>
  <si>
    <t>Year Effective</t>
  </si>
  <si>
    <t>Column1</t>
  </si>
  <si>
    <t>202459</t>
  </si>
  <si>
    <t>202464</t>
  </si>
  <si>
    <t>202469</t>
  </si>
  <si>
    <t>202474</t>
  </si>
  <si>
    <t>202479</t>
  </si>
  <si>
    <t>202568</t>
  </si>
  <si>
    <t>202574</t>
  </si>
  <si>
    <t>202580</t>
  </si>
  <si>
    <t>202586</t>
  </si>
  <si>
    <t>202592</t>
  </si>
  <si>
    <t>GSA FY</t>
  </si>
  <si>
    <t>Rate Unique #</t>
  </si>
  <si>
    <t>2023/24</t>
  </si>
  <si>
    <t>2024/25</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</si>
  <si>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</si>
  <si>
    <t xml:space="preserve">Enter the travel date. If travel date is not entered, the M&amp;IE rate will display as $0 until it has a value. If the value does not correctly match the per diem value for that year, the rate will continue to display $0. </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</si>
  <si>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</si>
  <si>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</si>
  <si>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NEW Rate</t>
  </si>
  <si>
    <t>Updated the worksheet to reflect the mileage rate change from .67 to .70. Updated formulas in cell O13 and X15:X29 on travel claim worksheet, plus related cells on the Data worksheet. See instruction document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</si>
</sst>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29"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3"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5" fillId="0" borderId="1" xfId="0" applyFont="1" applyBorder="1" applyAlignment="1">
      <alignment vertical="top" wrapText="1"/>
    </xf>
    <xf numFmtId="0" fontId="15" fillId="5" borderId="13" xfId="0" applyFont="1" applyFill="1" applyBorder="1" applyProtection="1">
      <protection locked="0"/>
    </xf>
    <xf numFmtId="0" fontId="15" fillId="5" borderId="1" xfId="0" applyFont="1" applyFill="1" applyBorder="1" applyProtection="1">
      <protection locked="0"/>
    </xf>
    <xf numFmtId="0" fontId="15"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6" fillId="0" borderId="1" xfId="2" applyFont="1" applyBorder="1" applyAlignment="1">
      <alignment vertical="top" wrapText="1"/>
    </xf>
    <xf numFmtId="0" fontId="17" fillId="0" borderId="0" xfId="2" quotePrefix="1" applyFont="1"/>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8" fontId="19" fillId="6" borderId="14" xfId="0" applyNumberFormat="1" applyFont="1" applyFill="1" applyBorder="1" applyAlignment="1">
      <alignment horizontal="right" vertical="center" wrapText="1"/>
    </xf>
    <xf numFmtId="8" fontId="19"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20" fillId="4" borderId="16"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7" fillId="0" borderId="0" xfId="2"/>
    <xf numFmtId="0" fontId="21" fillId="0" borderId="0" xfId="0" applyFont="1" applyAlignment="1">
      <alignment wrapText="1"/>
    </xf>
    <xf numFmtId="0" fontId="7" fillId="0" borderId="0" xfId="2" applyAlignment="1">
      <alignment wrapText="1"/>
    </xf>
    <xf numFmtId="0" fontId="21"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5"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7" fillId="0" borderId="1" xfId="2" applyBorder="1" applyAlignment="1">
      <alignment vertical="top" wrapText="1"/>
    </xf>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44" fontId="0" fillId="0" borderId="0" xfId="3" applyFont="1"/>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5" fillId="5" borderId="19" xfId="0" applyFont="1" applyFill="1" applyBorder="1" applyAlignment="1" applyProtection="1">
      <alignment horizontal="left" vertical="top"/>
      <protection locked="0"/>
    </xf>
    <xf numFmtId="0" fontId="15" fillId="5" borderId="18" xfId="0" applyFont="1" applyFill="1" applyBorder="1" applyAlignment="1" applyProtection="1">
      <alignment horizontal="left" vertical="top"/>
      <protection locked="0"/>
    </xf>
    <xf numFmtId="0" fontId="15" fillId="5" borderId="1" xfId="0" applyFont="1" applyFill="1" applyBorder="1" applyAlignment="1" applyProtection="1">
      <alignment horizontal="center"/>
      <protection locked="0"/>
    </xf>
    <xf numFmtId="14" fontId="15"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4" fillId="6" borderId="0" xfId="0" applyNumberFormat="1" applyFont="1" applyFill="1" applyAlignment="1">
      <alignment horizontal="right" vertical="center" wrapText="1"/>
    </xf>
    <xf numFmtId="8" fontId="24" fillId="6" borderId="21" xfId="0" applyNumberFormat="1" applyFont="1" applyFill="1" applyBorder="1" applyAlignment="1">
      <alignment horizontal="right" vertical="center" wrapText="1"/>
    </xf>
    <xf numFmtId="0" fontId="25" fillId="0" borderId="21" xfId="0" applyFont="1" applyBorder="1" applyAlignment="1">
      <alignment horizontal="left"/>
    </xf>
  </cellXfs>
  <cellStyles count="5">
    <cellStyle name="Comma" xfId="4" builtinId="3"/>
    <cellStyle name="Currency" xfId="3" builtinId="4"/>
    <cellStyle name="Hyperlink" xfId="2" builtinId="8"/>
    <cellStyle name="Normal" xfId="0" builtinId="0"/>
    <cellStyle name="Percent" xfId="1" builtinId="5"/>
  </cellStyles>
  <dxfs count="79">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color rgb="FFFF0000"/>
      </font>
    </dxf>
    <dxf>
      <font>
        <color rgb="FFFF0000"/>
      </font>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366887</xdr:colOff>
      <xdr:row>0</xdr:row>
      <xdr:rowOff>44803</xdr:rowOff>
    </xdr:from>
    <xdr:to>
      <xdr:col>24</xdr:col>
      <xdr:colOff>380998</xdr:colOff>
      <xdr:row>1</xdr:row>
      <xdr:rowOff>148167</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769554" y="44803"/>
          <a:ext cx="9158111" cy="484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oneCell">
    <xdr:from>
      <xdr:col>5</xdr:col>
      <xdr:colOff>70555</xdr:colOff>
      <xdr:row>6</xdr:row>
      <xdr:rowOff>180373</xdr:rowOff>
    </xdr:from>
    <xdr:to>
      <xdr:col>7</xdr:col>
      <xdr:colOff>154259</xdr:colOff>
      <xdr:row>8</xdr:row>
      <xdr:rowOff>313454</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3222" y="1810206"/>
          <a:ext cx="2084610" cy="496957"/>
        </a:xfrm>
        <a:prstGeom prst="rect">
          <a:avLst/>
        </a:prstGeom>
      </xdr:spPr>
    </xdr:pic>
    <xdr:clientData/>
  </xdr:twoCellAnchor>
  <xdr:twoCellAnchor editAs="oneCell">
    <xdr:from>
      <xdr:col>5</xdr:col>
      <xdr:colOff>380999</xdr:colOff>
      <xdr:row>8</xdr:row>
      <xdr:rowOff>288551</xdr:rowOff>
    </xdr:from>
    <xdr:to>
      <xdr:col>7</xdr:col>
      <xdr:colOff>674770</xdr:colOff>
      <xdr:row>9</xdr:row>
      <xdr:rowOff>27322</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783666" y="2285273"/>
          <a:ext cx="2296429" cy="424056"/>
        </a:xfrm>
        <a:prstGeom prst="rect">
          <a:avLst/>
        </a:prstGeom>
      </xdr:spPr>
    </xdr:pic>
    <xdr:clientData/>
  </xdr:twoCellAnchor>
  <xdr:twoCellAnchor editAs="oneCell">
    <xdr:from>
      <xdr:col>5</xdr:col>
      <xdr:colOff>402167</xdr:colOff>
      <xdr:row>5</xdr:row>
      <xdr:rowOff>91715</xdr:rowOff>
    </xdr:from>
    <xdr:to>
      <xdr:col>5</xdr:col>
      <xdr:colOff>1009574</xdr:colOff>
      <xdr:row>7</xdr:row>
      <xdr:rowOff>29359</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804834" y="1227659"/>
          <a:ext cx="609524" cy="609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6" dataDxfId="74" headerRowBorderDxfId="75" tableBorderDxfId="73" totalsRowBorderDxfId="72">
  <tableColumns count="26">
    <tableColumn id="13" xr3:uid="{018D380F-D6BB-4E19-834A-51AD7DEF7918}" name="Location" dataDxfId="71"/>
    <tableColumn id="12" xr3:uid="{0CCF96E4-0949-4FD9-88EE-0495CC0B73F0}" name="Rate Type" dataDxfId="70"/>
    <tableColumn id="22" xr3:uid="{8AED8B5F-94CD-420D-978A-7817A5759562}" name="Notes (optional)" dataDxfId="69"/>
    <tableColumn id="18" xr3:uid="{F952657B-F131-49C3-B946-E845CC529F29}" name="D/I" dataDxfId="68">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7">
      <calculatedColumnFormula>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calculatedColumnFormula>
    </tableColumn>
    <tableColumn id="2" xr3:uid="{58808C8B-DDD3-4EA5-B727-4156047646B4}" name="Travel Date_x000a_required" dataDxfId="66">
      <calculatedColumnFormula>IF(ISBLANK(TblTrvlDetails[[#This Row],[Rate Type]])=TRUE,"","Enter Date")</calculatedColumnFormula>
    </tableColumn>
    <tableColumn id="3" xr3:uid="{636CFAB8-333E-459E-AFE1-B9C9058EC0D8}" name="Personal Day?_x000a_Yes = 1" dataDxfId="65">
      <calculatedColumnFormula>0</calculatedColumnFormula>
    </tableColumn>
    <tableColumn id="5" xr3:uid="{232DD9FC-1F80-415B-AB5D-1E35A192476C}" name="# Provided Breakfasts" dataDxfId="64">
      <calculatedColumnFormula>0</calculatedColumnFormula>
    </tableColumn>
    <tableColumn id="7" xr3:uid="{19F10837-F244-4B7E-B4D2-8A60B3F5768B}" name="# Provided Lunches" dataDxfId="63">
      <calculatedColumnFormula>0</calculatedColumnFormula>
    </tableColumn>
    <tableColumn id="9" xr3:uid="{33BDE186-C93E-460D-BC5B-46918D6344BB}" name="# Provided Dinners" dataDxfId="62">
      <calculatedColumnFormula>0</calculatedColumnFormula>
    </tableColumn>
    <tableColumn id="21" xr3:uid="{B28256F2-93E2-438F-A6B2-171F5D17A8AE}" name="M&amp;IE Total" dataDxfId="61">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60"/>
    <tableColumn id="16" xr3:uid="{7FD5D9A2-E553-4CFB-A2F5-D473F42A9BD2}" name="Lodging*" dataDxfId="59"/>
    <tableColumn id="11" xr3:uid="{54F08054-FBBE-47B7-B516-14A3304C486B}" name="Miles*" dataDxfId="58"/>
    <tableColumn id="14" xr3:uid="{15E74E2F-21D9-4D0B-A873-02677E505EBE}" name="Ground Transport*" dataDxfId="57"/>
    <tableColumn id="23" xr3:uid="{214C631E-27DA-4300-B334-D94DD2EDDD09}" name="Car Rental*" dataDxfId="56"/>
    <tableColumn id="20" xr3:uid="{817F2205-CF57-45FD-BFE5-54983262C97E}" name="Business Expense*" dataDxfId="55"/>
    <tableColumn id="19" xr3:uid="{7D54C5E4-2C80-47E2-83C9-55E6F22DBD44}" name="Full Amt" dataDxfId="54">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3">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calculatedColumnFormula>
    </tableColumn>
    <tableColumn id="6" xr3:uid="{F4B25A4D-63BD-44F4-829B-C84E7179300A}" name="Lunch"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calculatedColumnFormula>
    </tableColumn>
    <tableColumn id="8" xr3:uid="{3FADC7C4-1D88-4817-8838-C62190199E1C}" name="Dinner" dataDxfId="51">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calculatedColumnFormula>
    </tableColumn>
    <tableColumn id="10" xr3:uid="{356A166E-EFFB-4344-94AA-4D376642B1E6}" name="Incidental Expenses" dataDxfId="50">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calculatedColumnFormula>
    </tableColumn>
    <tableColumn id="15" xr3:uid="{89014092-F713-490A-808C-CE7ED88B8169}" name="Total" dataDxfId="49">
      <calculatedColumnFormula>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calculatedColumnFormula>
    </tableColumn>
    <tableColumn id="25" xr3:uid="{6FD86520-FE29-43D7-9AB0-B82E6FE225A3}" name="Advance*" dataDxfId="48"/>
    <tableColumn id="24" xr3:uid="{D94DAA4E-786B-483D-875E-DA8C31478CEA}" name="GSA FY" dataDxfId="47"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6">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45" dataDxfId="43" headerRowBorderDxfId="44" tableBorderDxfId="42">
  <tableColumns count="3">
    <tableColumn id="1" xr3:uid="{369570FD-1834-4FB8-9234-0E0D6C23D427}" name="Location (Only Enter Lodging Destinations)" dataDxfId="41"/>
    <tableColumn id="2" xr3:uid="{136AC6CE-68BB-484F-A9B8-6C1A0F421606}" name="Domestic Rates (GSA)" dataDxfId="40"/>
    <tableColumn id="4" xr3:uid="{06411064-9ACB-4BD4-9F2A-391D84E26978}" name="Alaska/Hawaii (DoD) or_x000a_International Rates (State Dept) "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7" headerRowBorderDxfId="38"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AA6" totalsRowShown="0">
  <autoFilter ref="Y3:AA6" xr:uid="{E6267316-DC01-4E89-B5CB-3C9256ABD4D1}"/>
  <tableColumns count="3">
    <tableColumn id="1" xr3:uid="{5E268EDE-829F-4B1E-ADEB-24A6F43C8BD5}" name="Type"/>
    <tableColumn id="2" xr3:uid="{7F9FAF4B-E211-47D3-A097-7F712A9233D5}" name="Amount"/>
    <tableColumn id="3" xr3:uid="{90CFF4FB-B814-4CD4-875C-8CEA7A3649FC}" name="NEW R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C3:AC6" totalsRowShown="0">
  <autoFilter ref="AC3:AC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2.x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workbookViewId="0">
      <selection activeCell="B22" sqref="B22"/>
    </sheetView>
  </sheetViews>
  <sheetFormatPr defaultRowHeight="15" x14ac:dyDescent="0.25"/>
  <cols>
    <col min="2" max="2" width="127.42578125" customWidth="1"/>
  </cols>
  <sheetData>
    <row r="2" spans="1:2" ht="18.75" x14ac:dyDescent="0.3">
      <c r="B2" s="2" t="s">
        <v>68</v>
      </c>
    </row>
    <row r="3" spans="1:2" ht="38.450000000000003" customHeight="1" x14ac:dyDescent="0.25">
      <c r="B3" s="51" t="s">
        <v>69</v>
      </c>
    </row>
    <row r="4" spans="1:2" x14ac:dyDescent="0.25">
      <c r="A4" s="22"/>
      <c r="B4" s="22"/>
    </row>
    <row r="5" spans="1:2" x14ac:dyDescent="0.25">
      <c r="A5" s="22">
        <v>1</v>
      </c>
      <c r="B5" s="54" t="s">
        <v>52</v>
      </c>
    </row>
    <row r="6" spans="1:2" ht="30" x14ac:dyDescent="0.25">
      <c r="A6" s="22">
        <v>2</v>
      </c>
      <c r="B6" s="54" t="s">
        <v>78</v>
      </c>
    </row>
    <row r="7" spans="1:2" ht="75" x14ac:dyDescent="0.25">
      <c r="A7" s="22">
        <v>3</v>
      </c>
      <c r="B7" s="54" t="s">
        <v>97</v>
      </c>
    </row>
    <row r="8" spans="1:2" ht="30" x14ac:dyDescent="0.25">
      <c r="A8" s="22">
        <v>4</v>
      </c>
      <c r="B8" s="55" t="s">
        <v>53</v>
      </c>
    </row>
    <row r="9" spans="1:2" x14ac:dyDescent="0.25">
      <c r="A9" s="22">
        <v>5</v>
      </c>
      <c r="B9" s="56" t="s">
        <v>54</v>
      </c>
    </row>
    <row r="10" spans="1:2" x14ac:dyDescent="0.25">
      <c r="A10" s="22">
        <v>6</v>
      </c>
      <c r="B10" s="53" t="s">
        <v>57</v>
      </c>
    </row>
    <row r="11" spans="1:2" x14ac:dyDescent="0.25">
      <c r="A11" s="22">
        <v>7</v>
      </c>
      <c r="B11" s="52" t="s">
        <v>56</v>
      </c>
    </row>
    <row r="12" spans="1:2" ht="30" x14ac:dyDescent="0.25">
      <c r="A12" s="22">
        <v>8</v>
      </c>
      <c r="B12" s="52" t="s">
        <v>55</v>
      </c>
    </row>
    <row r="13" spans="1:2" ht="30" x14ac:dyDescent="0.25">
      <c r="A13" s="22">
        <v>9</v>
      </c>
      <c r="B13" s="52" t="s">
        <v>98</v>
      </c>
    </row>
    <row r="14" spans="1:2" x14ac:dyDescent="0.25">
      <c r="A14" s="22">
        <v>10</v>
      </c>
      <c r="B14" s="52" t="s">
        <v>58</v>
      </c>
    </row>
    <row r="15" spans="1:2" ht="45" x14ac:dyDescent="0.25">
      <c r="A15" s="22">
        <v>11</v>
      </c>
      <c r="B15" s="52" t="s">
        <v>59</v>
      </c>
    </row>
    <row r="16" spans="1:2" x14ac:dyDescent="0.25">
      <c r="A16" s="22">
        <v>12</v>
      </c>
      <c r="B16" s="52" t="s">
        <v>60</v>
      </c>
    </row>
    <row r="17" spans="1:2" x14ac:dyDescent="0.25">
      <c r="A17" s="22">
        <v>13</v>
      </c>
      <c r="B17" s="52" t="str">
        <f>CONCATENATE("Enter the number of Miles you are claiming for your personal car (Rate before 1/1/24 is "&amp;MileageRate&amp;"/mile), new rate as of 1/1/25 =&gt; "&amp;MileageRateNew&amp;"/mile).")</f>
        <v>Enter the number of Miles you are claiming for your personal car (Rate before 1/1/24 is 0.67/mile), new rate as of 1/1/25 =&gt; 0.7/mile).</v>
      </c>
    </row>
    <row r="18" spans="1:2" x14ac:dyDescent="0.25">
      <c r="A18" s="22">
        <v>14</v>
      </c>
      <c r="B18" s="52" t="s">
        <v>61</v>
      </c>
    </row>
    <row r="19" spans="1:2" x14ac:dyDescent="0.25">
      <c r="A19" s="22">
        <v>15</v>
      </c>
      <c r="B19" s="52" t="s">
        <v>62</v>
      </c>
    </row>
    <row r="20" spans="1:2" x14ac:dyDescent="0.25">
      <c r="A20" s="22">
        <v>16</v>
      </c>
      <c r="B20" s="52" t="s">
        <v>63</v>
      </c>
    </row>
    <row r="21" spans="1:2" ht="30" x14ac:dyDescent="0.25">
      <c r="A21" s="22">
        <v>17</v>
      </c>
      <c r="B21" s="52" t="s">
        <v>64</v>
      </c>
    </row>
    <row r="22" spans="1:2" ht="30" x14ac:dyDescent="0.25">
      <c r="A22" s="22">
        <v>18</v>
      </c>
      <c r="B22" s="52" t="s">
        <v>65</v>
      </c>
    </row>
    <row r="23" spans="1:2" x14ac:dyDescent="0.25">
      <c r="A23" s="22"/>
    </row>
    <row r="24" spans="1:2" x14ac:dyDescent="0.25">
      <c r="A24" s="22"/>
    </row>
    <row r="25" spans="1:2" x14ac:dyDescent="0.25">
      <c r="A25" s="22"/>
    </row>
    <row r="26" spans="1:2" x14ac:dyDescent="0.25">
      <c r="A26" s="22"/>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tabSelected="1" zoomScale="90" zoomScaleNormal="90" workbookViewId="0">
      <selection activeCell="B1" sqref="B1"/>
    </sheetView>
  </sheetViews>
  <sheetFormatPr defaultRowHeight="15" x14ac:dyDescent="0.25"/>
  <cols>
    <col min="1" max="1" width="3.285156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9" customWidth="1"/>
    <col min="14" max="14" width="7.5703125" customWidth="1"/>
    <col min="15" max="15" width="8.5703125" customWidth="1"/>
    <col min="16" max="16" width="9.5703125" customWidth="1"/>
    <col min="17" max="17" width="11.85546875" customWidth="1"/>
    <col min="18" max="18" width="8.7109375" customWidth="1"/>
    <col min="19" max="19" width="7.28515625" hidden="1" customWidth="1"/>
    <col min="20" max="20" width="7.7109375" hidden="1" customWidth="1"/>
    <col min="21" max="21" width="12.5703125" hidden="1" customWidth="1"/>
    <col min="22" max="22" width="9.28515625" hidden="1" customWidth="1"/>
    <col min="23" max="23" width="9" hidden="1" customWidth="1"/>
    <col min="26" max="26" width="8.85546875" hidden="1" customWidth="1"/>
    <col min="27" max="27" width="8" hidden="1" customWidth="1"/>
  </cols>
  <sheetData>
    <row r="1" spans="1:39" ht="30" customHeight="1" x14ac:dyDescent="0.3">
      <c r="B1" s="24" t="s">
        <v>38</v>
      </c>
      <c r="C1" s="2"/>
      <c r="E1" s="2"/>
      <c r="F1" s="2"/>
      <c r="I1" s="1"/>
      <c r="J1" s="1"/>
      <c r="K1" s="1"/>
      <c r="L1" s="1"/>
      <c r="M1" s="1"/>
      <c r="N1" s="1"/>
      <c r="O1" s="1"/>
      <c r="P1" s="1"/>
      <c r="Q1" s="1"/>
      <c r="R1" s="1"/>
      <c r="T1" s="1"/>
      <c r="U1" s="1"/>
      <c r="V1" s="1"/>
      <c r="W1" s="1"/>
      <c r="X1" s="1"/>
    </row>
    <row r="2" spans="1:39" ht="15.95" customHeight="1" x14ac:dyDescent="0.3">
      <c r="B2" s="42">
        <f ca="1">TODAY()</f>
        <v>45719</v>
      </c>
      <c r="C2" s="2"/>
      <c r="E2" s="2"/>
      <c r="F2" s="2"/>
      <c r="I2" s="40"/>
      <c r="J2" s="40"/>
      <c r="K2" s="40"/>
      <c r="L2" s="93" t="s">
        <v>48</v>
      </c>
      <c r="M2" s="93"/>
      <c r="N2" s="93"/>
      <c r="O2" s="93"/>
      <c r="P2" s="93"/>
      <c r="Q2" s="93"/>
      <c r="R2" s="93"/>
      <c r="T2" s="41"/>
      <c r="U2" s="40"/>
      <c r="V2" s="40"/>
      <c r="W2" s="40"/>
      <c r="X2" s="63"/>
      <c r="Y2" s="91"/>
    </row>
    <row r="3" spans="1:39" x14ac:dyDescent="0.25">
      <c r="B3" t="s">
        <v>11</v>
      </c>
      <c r="C3" s="89"/>
      <c r="D3" s="90"/>
      <c r="F3" s="57" t="s">
        <v>66</v>
      </c>
      <c r="G3" s="89"/>
      <c r="H3" s="90"/>
      <c r="J3" s="20"/>
      <c r="K3" s="20"/>
      <c r="L3" s="93"/>
      <c r="M3" s="93"/>
      <c r="N3" s="93"/>
      <c r="O3" s="93"/>
      <c r="P3" s="93"/>
      <c r="Q3" s="93"/>
      <c r="R3" s="93"/>
      <c r="T3" s="21"/>
      <c r="U3" s="20"/>
      <c r="V3" s="20"/>
      <c r="W3" s="20"/>
      <c r="X3" s="63"/>
      <c r="Y3" s="91"/>
    </row>
    <row r="4" spans="1:39" x14ac:dyDescent="0.25">
      <c r="B4" t="s">
        <v>44</v>
      </c>
      <c r="C4" s="89"/>
      <c r="D4" s="90"/>
      <c r="F4" s="57" t="s">
        <v>8</v>
      </c>
      <c r="G4" s="92"/>
      <c r="H4" s="92"/>
      <c r="I4" s="69"/>
      <c r="L4" s="63"/>
      <c r="M4" s="63"/>
      <c r="N4" s="63"/>
      <c r="O4" s="63"/>
      <c r="P4" s="63"/>
      <c r="Q4" s="63"/>
      <c r="R4" s="63"/>
      <c r="T4" s="21"/>
      <c r="U4" s="20"/>
      <c r="V4" s="20"/>
      <c r="W4" s="20"/>
      <c r="X4" s="63"/>
      <c r="Y4" s="91"/>
      <c r="Z4" s="20"/>
      <c r="AA4" s="20"/>
      <c r="AB4" s="20"/>
      <c r="AC4" s="20"/>
      <c r="AD4" s="20"/>
      <c r="AE4" s="20"/>
      <c r="AF4" s="20"/>
      <c r="AG4" s="20"/>
      <c r="AH4" s="20"/>
      <c r="AI4" s="20"/>
      <c r="AJ4" s="20"/>
      <c r="AK4" s="20"/>
      <c r="AL4" s="20"/>
      <c r="AM4" s="20"/>
    </row>
    <row r="5" spans="1:39" x14ac:dyDescent="0.25">
      <c r="F5" s="57" t="s">
        <v>7</v>
      </c>
      <c r="G5" s="92"/>
      <c r="H5" s="92"/>
      <c r="T5" s="39"/>
    </row>
    <row r="6" spans="1:39" ht="38.25" x14ac:dyDescent="0.25">
      <c r="B6" s="32" t="s">
        <v>20</v>
      </c>
      <c r="C6" s="77" t="s">
        <v>18</v>
      </c>
      <c r="D6" s="38" t="s">
        <v>46</v>
      </c>
      <c r="E6" t="str">
        <f>IF(AND($G$4&lt;DATEVALUE("10/1/24"),$G$5&gt;=DATEVALUE("10/1/24")),"2023/2024",IF($G$4&lt;DATEVALUE("10/1/24"),"2023","2024"))</f>
        <v>2023</v>
      </c>
      <c r="H6" s="68"/>
      <c r="L6" s="60"/>
      <c r="M6" s="60"/>
      <c r="N6" s="60"/>
      <c r="O6" s="60"/>
      <c r="P6" s="60"/>
      <c r="Q6" s="60"/>
      <c r="R6" s="60"/>
      <c r="X6" s="60"/>
      <c r="Y6" s="60"/>
    </row>
    <row r="7" spans="1:39" ht="14.45" customHeight="1" x14ac:dyDescent="0.25">
      <c r="B7" s="33"/>
      <c r="C7" s="33"/>
      <c r="D7" s="33"/>
      <c r="E7" s="59"/>
      <c r="F7" s="43"/>
      <c r="L7" s="60"/>
      <c r="M7" s="60"/>
      <c r="N7" s="60"/>
      <c r="O7" s="60"/>
      <c r="P7" s="60"/>
      <c r="Q7" s="60"/>
      <c r="R7" s="60"/>
      <c r="X7" s="60"/>
      <c r="Y7" s="60"/>
    </row>
    <row r="8" spans="1:39" x14ac:dyDescent="0.25">
      <c r="B8" s="34"/>
      <c r="C8" s="33"/>
      <c r="D8" s="34"/>
      <c r="E8" s="59"/>
      <c r="F8" s="43"/>
    </row>
    <row r="9" spans="1:39" s="14" customFormat="1" ht="54" customHeight="1" x14ac:dyDescent="0.25">
      <c r="B9" s="35"/>
      <c r="C9" s="33"/>
      <c r="D9" s="35"/>
      <c r="G9" s="15"/>
      <c r="I9" s="20"/>
      <c r="J9" s="20"/>
      <c r="K9" s="20"/>
      <c r="M9"/>
      <c r="N9"/>
      <c r="O9"/>
      <c r="P9"/>
      <c r="U9" s="20"/>
      <c r="V9" s="20"/>
      <c r="W9" s="20"/>
    </row>
    <row r="10" spans="1:39" ht="15.6" customHeight="1" x14ac:dyDescent="0.25">
      <c r="B10" s="35"/>
      <c r="C10" s="33"/>
      <c r="D10" s="34"/>
      <c r="Q10" s="94" t="s">
        <v>67</v>
      </c>
      <c r="R10" s="94"/>
      <c r="X10" s="96">
        <f>SUM($X$13-$Y13)</f>
        <v>0</v>
      </c>
      <c r="Y10" s="96"/>
    </row>
    <row r="11" spans="1:39" ht="14.45" customHeight="1" x14ac:dyDescent="0.25">
      <c r="B11" s="35"/>
      <c r="C11" s="33"/>
      <c r="D11" s="34"/>
      <c r="F11" s="98"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98"/>
      <c r="H11" s="98"/>
      <c r="I11" s="98"/>
      <c r="J11" s="98"/>
      <c r="K11" s="98"/>
      <c r="L11" s="98"/>
      <c r="M11" s="98"/>
      <c r="N11" s="98"/>
      <c r="O11" s="98"/>
      <c r="P11" s="98"/>
      <c r="Q11" s="95"/>
      <c r="R11" s="95"/>
      <c r="S11" s="62"/>
      <c r="T11" s="62"/>
      <c r="U11" s="62"/>
      <c r="V11" s="62"/>
      <c r="W11" s="62"/>
      <c r="X11" s="97"/>
      <c r="Y11" s="97"/>
    </row>
    <row r="12" spans="1:39" ht="15" customHeight="1" x14ac:dyDescent="0.25">
      <c r="A12" s="23"/>
      <c r="B12" s="36"/>
      <c r="C12" s="37"/>
      <c r="D12" s="37"/>
      <c r="E12" s="37"/>
      <c r="F12" s="37"/>
      <c r="G12" s="37"/>
      <c r="H12" s="37"/>
      <c r="I12" s="37"/>
      <c r="J12" s="37"/>
      <c r="K12" s="37"/>
      <c r="L12" s="37" t="s">
        <v>35</v>
      </c>
      <c r="M12" s="37"/>
      <c r="N12" s="37"/>
      <c r="O12" s="37"/>
      <c r="P12" s="37"/>
      <c r="Q12" s="37"/>
      <c r="R12" s="37"/>
      <c r="S12" s="37"/>
      <c r="T12" s="37"/>
      <c r="U12" s="37"/>
      <c r="V12" s="37"/>
      <c r="W12" s="37"/>
      <c r="X12" s="37"/>
      <c r="Y12" s="37"/>
    </row>
    <row r="13" spans="1:39" ht="33" customHeight="1" x14ac:dyDescent="0.25">
      <c r="B13" s="58" t="s">
        <v>27</v>
      </c>
      <c r="I13" s="86" t="s">
        <v>49</v>
      </c>
      <c r="J13" s="87"/>
      <c r="K13" s="88"/>
      <c r="L13" s="44">
        <f>SUM(TblTrvlDetails[M&amp;IE Total])</f>
        <v>0</v>
      </c>
      <c r="M13" s="44">
        <f>SUM(TblTrvlDetails[Airfare*])</f>
        <v>0</v>
      </c>
      <c r="N13" s="44">
        <f>SUM(TblTrvlDetails[Lodging*])</f>
        <v>0</v>
      </c>
      <c r="O13" s="44">
        <f>SUM(IFERROR(SUMIFS(TblTrvlDetails[Miles*],TblTrvlDetails[Travel Date
required],"&lt;01/01/2025")*(VLOOKUP("Car Mileage",TblTransport[#All],2,FALSE)),0),IFERROR(SUMIFS(TblTrvlDetails[Miles*],TblTrvlDetails[Travel Date
required],"&gt;=01/01/2025")*(VLOOKUP("Car Mileage",TblTransport[#All],3,FALSE)),0))</f>
        <v>0</v>
      </c>
      <c r="P13" s="44">
        <f>SUM(TblTrvlDetails[Ground Transport*])</f>
        <v>0</v>
      </c>
      <c r="Q13" s="44">
        <f>SUM(TblTrvlDetails[Car Rental*])</f>
        <v>0</v>
      </c>
      <c r="R13" s="45">
        <f>SUM(TblTrvlDetails[Business Expense*])</f>
        <v>0</v>
      </c>
      <c r="S13" s="46"/>
      <c r="T13" s="46"/>
      <c r="U13" s="46"/>
      <c r="V13" s="46"/>
      <c r="W13" s="46"/>
      <c r="X13" s="44">
        <f>SUM(L13:R13)</f>
        <v>0</v>
      </c>
      <c r="Y13" s="45">
        <f>SUM(TblTrvlDetails[Advance*])</f>
        <v>0</v>
      </c>
    </row>
    <row r="14" spans="1:39" ht="39" customHeight="1" x14ac:dyDescent="0.25">
      <c r="B14" s="47" t="s">
        <v>16</v>
      </c>
      <c r="C14" s="48" t="s">
        <v>17</v>
      </c>
      <c r="D14" s="48" t="s">
        <v>51</v>
      </c>
      <c r="E14" s="48" t="s">
        <v>24</v>
      </c>
      <c r="F14" s="48" t="s">
        <v>50</v>
      </c>
      <c r="G14" s="49" t="s">
        <v>80</v>
      </c>
      <c r="H14" s="49" t="s">
        <v>37</v>
      </c>
      <c r="I14" s="49" t="s">
        <v>4</v>
      </c>
      <c r="J14" s="49" t="s">
        <v>6</v>
      </c>
      <c r="K14" s="49" t="s">
        <v>5</v>
      </c>
      <c r="L14" s="49" t="s">
        <v>28</v>
      </c>
      <c r="M14" s="49" t="s">
        <v>41</v>
      </c>
      <c r="N14" s="49" t="s">
        <v>42</v>
      </c>
      <c r="O14" s="49" t="s">
        <v>40</v>
      </c>
      <c r="P14" s="49" t="s">
        <v>39</v>
      </c>
      <c r="Q14" s="49" t="s">
        <v>45</v>
      </c>
      <c r="R14" s="49" t="s">
        <v>43</v>
      </c>
      <c r="S14" s="49" t="s">
        <v>25</v>
      </c>
      <c r="T14" s="49" t="s">
        <v>0</v>
      </c>
      <c r="U14" s="49" t="s">
        <v>1</v>
      </c>
      <c r="V14" s="49" t="s">
        <v>2</v>
      </c>
      <c r="W14" s="49" t="s">
        <v>3</v>
      </c>
      <c r="X14" s="50" t="s">
        <v>21</v>
      </c>
      <c r="Y14" s="49" t="s">
        <v>47</v>
      </c>
      <c r="Z14" s="74" t="s">
        <v>93</v>
      </c>
      <c r="AA14" s="49" t="s">
        <v>94</v>
      </c>
    </row>
    <row r="15" spans="1:39" ht="20.45" customHeight="1" x14ac:dyDescent="0.25">
      <c r="B15" s="25"/>
      <c r="C15" s="26"/>
      <c r="D15" s="25"/>
      <c r="E15" s="27" t="str">
        <f>_xlfn.IFNA(IF(VLOOKUP(TblTrvlDetails[[#This Row],[Location]],TblDom[],2,FALSE)&lt;&gt;"International","D",IF(VLOOKUP(TblTrvlDetails[[#This Row],[Location]],TblDom[],2,FALSE)="International","I","")),"")</f>
        <v/>
      </c>
      <c r="F15"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5" s="28" t="str">
        <f>IF(ISBLANK(TblTrvlDetails[[#This Row],[Rate Type]])=TRUE,"","Enter Date")</f>
        <v/>
      </c>
      <c r="H15" s="29">
        <v>0</v>
      </c>
      <c r="I15" s="29">
        <v>0</v>
      </c>
      <c r="J15" s="29">
        <v>0</v>
      </c>
      <c r="K15" s="29">
        <v>0</v>
      </c>
      <c r="L1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0"/>
      <c r="N15" s="30"/>
      <c r="O15" s="26"/>
      <c r="P15" s="30"/>
      <c r="Q15" s="30"/>
      <c r="R15" s="30"/>
      <c r="S15" s="29">
        <f>IF(ISBLANK(TblTrvlDetails[[#This Row],[Location]]),0,IF(TblTrvlDetails[[#This Row],[D/I]]="I",VLOOKUP(TblTrvlDetails[[#This Row],[Location]],TblDom[],3,FALSE),VLOOKUP(TblTrvlDetails[[#This Row],[Location]],TblDom[],2,FALSE)))</f>
        <v>0</v>
      </c>
      <c r="T15" s="61">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5" s="61">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5" s="61">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5" s="2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5"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5" s="75">
        <v>0</v>
      </c>
      <c r="Z15" s="71" t="e">
        <f>IF(MONTH(TblTrvlDetails[[#This Row],[Travel Date
required]])&lt;10,YEAR(TblTrvlDetails[[#This Row],[Travel Date
required]]),YEAR(TblTrvlDetails[[#This Row],[Travel Date
required]])+1)</f>
        <v>#VALUE!</v>
      </c>
      <c r="AA15" s="72" t="e">
        <f>CONCATENATE(TblTrvlDetails[[#This Row],[GSA FY]],TblTrvlDetails[[#This Row],[Full Amt]])</f>
        <v>#VALUE!</v>
      </c>
    </row>
    <row r="16" spans="1:39" ht="20.45" customHeight="1" x14ac:dyDescent="0.25">
      <c r="B16" s="25"/>
      <c r="C16" s="26"/>
      <c r="D16" s="25"/>
      <c r="E16" s="27" t="str">
        <f>_xlfn.IFNA(IF(VLOOKUP(TblTrvlDetails[[#This Row],[Location]],TblDom[],2,FALSE)&lt;&gt;"International","D",IF(VLOOKUP(TblTrvlDetails[[#This Row],[Location]],TblDom[],2,FALSE)="International","I","")),"")</f>
        <v/>
      </c>
      <c r="F16"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6" s="28" t="str">
        <f>IF(ISBLANK(TblTrvlDetails[[#This Row],[Rate Type]])=TRUE,"","Enter Date")</f>
        <v/>
      </c>
      <c r="H16" s="29">
        <v>0</v>
      </c>
      <c r="I16" s="29">
        <v>0</v>
      </c>
      <c r="J16" s="29">
        <v>0</v>
      </c>
      <c r="K16" s="29">
        <v>0</v>
      </c>
      <c r="L1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0"/>
      <c r="N16" s="30"/>
      <c r="O16" s="26"/>
      <c r="P16" s="30"/>
      <c r="Q16" s="30"/>
      <c r="R16" s="30"/>
      <c r="S16" s="29">
        <f>IF(ISBLANK(TblTrvlDetails[[#This Row],[Location]]),0,IF(TblTrvlDetails[[#This Row],[D/I]]="I",VLOOKUP(TblTrvlDetails[[#This Row],[Location]],TblDom[],3,FALSE),VLOOKUP(TblTrvlDetails[[#This Row],[Location]],TblDom[],2,FALSE)))</f>
        <v>0</v>
      </c>
      <c r="T16" s="61">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6" s="61">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6" s="61">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6" s="2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6"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6" s="75">
        <v>0</v>
      </c>
      <c r="Z16" s="71" t="e">
        <f>IF(MONTH(TblTrvlDetails[[#This Row],[Travel Date
required]])&lt;10,YEAR(TblTrvlDetails[[#This Row],[Travel Date
required]]),YEAR(TblTrvlDetails[[#This Row],[Travel Date
required]])+1)</f>
        <v>#VALUE!</v>
      </c>
      <c r="AA16" s="72" t="e">
        <f>CONCATENATE(TblTrvlDetails[[#This Row],[GSA FY]],TblTrvlDetails[[#This Row],[Full Amt]])</f>
        <v>#VALUE!</v>
      </c>
    </row>
    <row r="17" spans="2:27" ht="20.45" customHeight="1" x14ac:dyDescent="0.25">
      <c r="B17" s="25"/>
      <c r="C17" s="26"/>
      <c r="D17" s="25"/>
      <c r="E17" s="27" t="str">
        <f>_xlfn.IFNA(IF(VLOOKUP(TblTrvlDetails[[#This Row],[Location]],TblDom[],2,FALSE)&lt;&gt;"International","D",IF(VLOOKUP(TblTrvlDetails[[#This Row],[Location]],TblDom[],2,FALSE)="International","I","")),"")</f>
        <v/>
      </c>
      <c r="F17"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7" s="28" t="str">
        <f>IF(ISBLANK(TblTrvlDetails[[#This Row],[Rate Type]])=TRUE,"","Enter Date")</f>
        <v/>
      </c>
      <c r="H17" s="29">
        <v>0</v>
      </c>
      <c r="I17" s="29">
        <v>0</v>
      </c>
      <c r="J17" s="29">
        <v>0</v>
      </c>
      <c r="K17" s="29">
        <v>0</v>
      </c>
      <c r="L1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0"/>
      <c r="N17" s="30"/>
      <c r="O17" s="26"/>
      <c r="P17" s="30"/>
      <c r="Q17" s="30"/>
      <c r="R17" s="30"/>
      <c r="S17" s="29">
        <f>IF(ISBLANK(TblTrvlDetails[[#This Row],[Location]]),0,IF(TblTrvlDetails[[#This Row],[D/I]]="I",VLOOKUP(TblTrvlDetails[[#This Row],[Location]],TblDom[],3,FALSE),VLOOKUP(TblTrvlDetails[[#This Row],[Location]],TblDom[],2,FALSE)))</f>
        <v>0</v>
      </c>
      <c r="T17" s="61">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7" s="61">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7" s="61">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7" s="2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7"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7" s="75">
        <v>0</v>
      </c>
      <c r="Z17" s="71" t="e">
        <f>IF(MONTH(TblTrvlDetails[[#This Row],[Travel Date
required]])&lt;10,YEAR(TblTrvlDetails[[#This Row],[Travel Date
required]]),YEAR(TblTrvlDetails[[#This Row],[Travel Date
required]])+1)</f>
        <v>#VALUE!</v>
      </c>
      <c r="AA17" s="72" t="e">
        <f>CONCATENATE(TblTrvlDetails[[#This Row],[GSA FY]],TblTrvlDetails[[#This Row],[Full Amt]])</f>
        <v>#VALUE!</v>
      </c>
    </row>
    <row r="18" spans="2:27" ht="20.45" customHeight="1" x14ac:dyDescent="0.25">
      <c r="B18" s="25"/>
      <c r="C18" s="26"/>
      <c r="D18" s="25"/>
      <c r="E18" s="27" t="str">
        <f>_xlfn.IFNA(IF(VLOOKUP(TblTrvlDetails[[#This Row],[Location]],TblDom[],2,FALSE)&lt;&gt;"International","D",IF(VLOOKUP(TblTrvlDetails[[#This Row],[Location]],TblDom[],2,FALSE)="International","I","")),"")</f>
        <v/>
      </c>
      <c r="F18"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8" s="28" t="str">
        <f>IF(ISBLANK(TblTrvlDetails[[#This Row],[Rate Type]])=TRUE,"","Enter Date")</f>
        <v/>
      </c>
      <c r="H18" s="29">
        <v>0</v>
      </c>
      <c r="I18" s="29">
        <v>0</v>
      </c>
      <c r="J18" s="29">
        <v>0</v>
      </c>
      <c r="K18" s="29">
        <v>0</v>
      </c>
      <c r="L1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0"/>
      <c r="N18" s="30"/>
      <c r="O18" s="26"/>
      <c r="P18" s="30"/>
      <c r="Q18" s="30"/>
      <c r="R18" s="30"/>
      <c r="S18" s="29">
        <f>IF(ISBLANK(TblTrvlDetails[[#This Row],[Location]]),0,IF(TblTrvlDetails[[#This Row],[D/I]]="I",VLOOKUP(TblTrvlDetails[[#This Row],[Location]],TblDom[],3,FALSE),VLOOKUP(TblTrvlDetails[[#This Row],[Location]],TblDom[],2,FALSE)))</f>
        <v>0</v>
      </c>
      <c r="T18" s="61">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8" s="61">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8" s="61">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8" s="2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8"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8" s="75">
        <v>0</v>
      </c>
      <c r="Z18" s="71" t="e">
        <f>IF(MONTH(TblTrvlDetails[[#This Row],[Travel Date
required]])&lt;10,YEAR(TblTrvlDetails[[#This Row],[Travel Date
required]]),YEAR(TblTrvlDetails[[#This Row],[Travel Date
required]])+1)</f>
        <v>#VALUE!</v>
      </c>
      <c r="AA18" s="72" t="e">
        <f>CONCATENATE(TblTrvlDetails[[#This Row],[GSA FY]],TblTrvlDetails[[#This Row],[Full Amt]])</f>
        <v>#VALUE!</v>
      </c>
    </row>
    <row r="19" spans="2:27" ht="20.45" customHeight="1" x14ac:dyDescent="0.25">
      <c r="B19" s="25"/>
      <c r="C19" s="26"/>
      <c r="D19" s="25"/>
      <c r="E19" s="27" t="str">
        <f>_xlfn.IFNA(IF(VLOOKUP(TblTrvlDetails[[#This Row],[Location]],TblDom[],2,FALSE)&lt;&gt;"International","D",IF(VLOOKUP(TblTrvlDetails[[#This Row],[Location]],TblDom[],2,FALSE)="International","I","")),"")</f>
        <v/>
      </c>
      <c r="F19"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19" s="28" t="str">
        <f>IF(ISBLANK(TblTrvlDetails[[#This Row],[Rate Type]])=TRUE,"","Enter Date")</f>
        <v/>
      </c>
      <c r="H19" s="29">
        <v>0</v>
      </c>
      <c r="I19" s="29">
        <v>0</v>
      </c>
      <c r="J19" s="29">
        <v>0</v>
      </c>
      <c r="K19" s="29">
        <v>0</v>
      </c>
      <c r="L1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0"/>
      <c r="N19" s="30"/>
      <c r="O19" s="26"/>
      <c r="P19" s="30"/>
      <c r="Q19" s="30"/>
      <c r="R19" s="30"/>
      <c r="S19" s="29">
        <f>IF(ISBLANK(TblTrvlDetails[[#This Row],[Location]]),0,IF(TblTrvlDetails[[#This Row],[D/I]]="I",VLOOKUP(TblTrvlDetails[[#This Row],[Location]],TblDom[],3,FALSE),VLOOKUP(TblTrvlDetails[[#This Row],[Location]],TblDom[],2,FALSE)))</f>
        <v>0</v>
      </c>
      <c r="T19" s="61">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19" s="61">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19" s="61">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19" s="2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19"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19" s="75">
        <v>0</v>
      </c>
      <c r="Z19" s="71" t="e">
        <f>IF(MONTH(TblTrvlDetails[[#This Row],[Travel Date
required]])&lt;10,YEAR(TblTrvlDetails[[#This Row],[Travel Date
required]]),YEAR(TblTrvlDetails[[#This Row],[Travel Date
required]])+1)</f>
        <v>#VALUE!</v>
      </c>
      <c r="AA19" s="72" t="e">
        <f>CONCATENATE(TblTrvlDetails[[#This Row],[GSA FY]],TblTrvlDetails[[#This Row],[Full Amt]])</f>
        <v>#VALUE!</v>
      </c>
    </row>
    <row r="20" spans="2:27" ht="20.45" customHeight="1" x14ac:dyDescent="0.25">
      <c r="B20" s="25"/>
      <c r="C20" s="26"/>
      <c r="D20" s="25"/>
      <c r="E20" s="27" t="str">
        <f>_xlfn.IFNA(IF(VLOOKUP(TblTrvlDetails[[#This Row],[Location]],TblDom[],2,FALSE)&lt;&gt;"International","D",IF(VLOOKUP(TblTrvlDetails[[#This Row],[Location]],TblDom[],2,FALSE)="International","I","")),"")</f>
        <v/>
      </c>
      <c r="F20"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0" s="28" t="str">
        <f>IF(ISBLANK(TblTrvlDetails[[#This Row],[Rate Type]])=TRUE,"","Enter Date")</f>
        <v/>
      </c>
      <c r="H20" s="29">
        <v>0</v>
      </c>
      <c r="I20" s="29">
        <v>0</v>
      </c>
      <c r="J20" s="29">
        <v>0</v>
      </c>
      <c r="K20" s="29">
        <v>0</v>
      </c>
      <c r="L20"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0"/>
      <c r="N20" s="30"/>
      <c r="O20" s="26"/>
      <c r="P20" s="30"/>
      <c r="Q20" s="30"/>
      <c r="R20" s="30"/>
      <c r="S20" s="29">
        <f>IF(ISBLANK(TblTrvlDetails[[#This Row],[Location]]),0,IF(TblTrvlDetails[[#This Row],[D/I]]="I",VLOOKUP(TblTrvlDetails[[#This Row],[Location]],TblDom[],3,FALSE),VLOOKUP(TblTrvlDetails[[#This Row],[Location]],TblDom[],2,FALSE)))</f>
        <v>0</v>
      </c>
      <c r="T20" s="61">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0" s="61">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0" s="61">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0" s="2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0"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0" s="75">
        <v>0</v>
      </c>
      <c r="Z20" s="71" t="e">
        <f>IF(MONTH(TblTrvlDetails[[#This Row],[Travel Date
required]])&lt;10,YEAR(TblTrvlDetails[[#This Row],[Travel Date
required]]),YEAR(TblTrvlDetails[[#This Row],[Travel Date
required]])+1)</f>
        <v>#VALUE!</v>
      </c>
      <c r="AA20" s="72" t="e">
        <f>CONCATENATE(TblTrvlDetails[[#This Row],[GSA FY]],TblTrvlDetails[[#This Row],[Full Amt]])</f>
        <v>#VALUE!</v>
      </c>
    </row>
    <row r="21" spans="2:27" ht="20.45" customHeight="1" x14ac:dyDescent="0.25">
      <c r="B21" s="25"/>
      <c r="C21" s="26"/>
      <c r="D21" s="25"/>
      <c r="E21" s="27" t="str">
        <f>_xlfn.IFNA(IF(VLOOKUP(TblTrvlDetails[[#This Row],[Location]],TblDom[],2,FALSE)&lt;&gt;"International","D",IF(VLOOKUP(TblTrvlDetails[[#This Row],[Location]],TblDom[],2,FALSE)="International","I","")),"")</f>
        <v/>
      </c>
      <c r="F21"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1" s="28" t="str">
        <f>IF(ISBLANK(TblTrvlDetails[[#This Row],[Rate Type]])=TRUE,"","Enter Date")</f>
        <v/>
      </c>
      <c r="H21" s="29">
        <v>0</v>
      </c>
      <c r="I21" s="29">
        <v>0</v>
      </c>
      <c r="J21" s="29">
        <v>0</v>
      </c>
      <c r="K21" s="29">
        <v>0</v>
      </c>
      <c r="L21"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0"/>
      <c r="N21" s="30"/>
      <c r="O21" s="26"/>
      <c r="P21" s="30"/>
      <c r="Q21" s="30"/>
      <c r="R21" s="30"/>
      <c r="S21" s="29">
        <f>IF(ISBLANK(TblTrvlDetails[[#This Row],[Location]]),0,IF(TblTrvlDetails[[#This Row],[D/I]]="I",VLOOKUP(TblTrvlDetails[[#This Row],[Location]],TblDom[],3,FALSE),VLOOKUP(TblTrvlDetails[[#This Row],[Location]],TblDom[],2,FALSE)))</f>
        <v>0</v>
      </c>
      <c r="T21" s="61">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1" s="61">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1" s="61">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1" s="2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1"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1" s="75">
        <v>0</v>
      </c>
      <c r="Z21" s="71" t="e">
        <f>IF(MONTH(TblTrvlDetails[[#This Row],[Travel Date
required]])&lt;10,YEAR(TblTrvlDetails[[#This Row],[Travel Date
required]]),YEAR(TblTrvlDetails[[#This Row],[Travel Date
required]])+1)</f>
        <v>#VALUE!</v>
      </c>
      <c r="AA21" s="72" t="e">
        <f>CONCATENATE(TblTrvlDetails[[#This Row],[GSA FY]],TblTrvlDetails[[#This Row],[Full Amt]])</f>
        <v>#VALUE!</v>
      </c>
    </row>
    <row r="22" spans="2:27" ht="20.45" customHeight="1" x14ac:dyDescent="0.25">
      <c r="B22" s="25"/>
      <c r="C22" s="26"/>
      <c r="D22" s="25"/>
      <c r="E22" s="27" t="str">
        <f>_xlfn.IFNA(IF(VLOOKUP(TblTrvlDetails[[#This Row],[Location]],TblDom[],2,FALSE)&lt;&gt;"International","D",IF(VLOOKUP(TblTrvlDetails[[#This Row],[Location]],TblDom[],2,FALSE)="International","I","")),"")</f>
        <v/>
      </c>
      <c r="F22"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2" s="28" t="str">
        <f>IF(ISBLANK(TblTrvlDetails[[#This Row],[Rate Type]])=TRUE,"","Enter Date")</f>
        <v/>
      </c>
      <c r="H22" s="29">
        <v>0</v>
      </c>
      <c r="I22" s="29">
        <v>0</v>
      </c>
      <c r="J22" s="29">
        <v>0</v>
      </c>
      <c r="K22" s="29">
        <v>0</v>
      </c>
      <c r="L22"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0"/>
      <c r="N22" s="30"/>
      <c r="O22" s="26"/>
      <c r="P22" s="30"/>
      <c r="Q22" s="30"/>
      <c r="R22" s="30"/>
      <c r="S22" s="29">
        <f>IF(ISBLANK(TblTrvlDetails[[#This Row],[Location]]),0,IF(TblTrvlDetails[[#This Row],[D/I]]="I",VLOOKUP(TblTrvlDetails[[#This Row],[Location]],TblDom[],3,FALSE),VLOOKUP(TblTrvlDetails[[#This Row],[Location]],TblDom[],2,FALSE)))</f>
        <v>0</v>
      </c>
      <c r="T22" s="61">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2" s="61">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2" s="61">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2" s="2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2"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2" s="75">
        <v>0</v>
      </c>
      <c r="Z22" s="71" t="e">
        <f>IF(MONTH(TblTrvlDetails[[#This Row],[Travel Date
required]])&lt;10,YEAR(TblTrvlDetails[[#This Row],[Travel Date
required]]),YEAR(TblTrvlDetails[[#This Row],[Travel Date
required]])+1)</f>
        <v>#VALUE!</v>
      </c>
      <c r="AA22" s="72" t="e">
        <f>CONCATENATE(TblTrvlDetails[[#This Row],[GSA FY]],TblTrvlDetails[[#This Row],[Full Amt]])</f>
        <v>#VALUE!</v>
      </c>
    </row>
    <row r="23" spans="2:27" ht="20.45" customHeight="1" x14ac:dyDescent="0.25">
      <c r="B23" s="25"/>
      <c r="C23" s="26"/>
      <c r="D23" s="25"/>
      <c r="E23" s="27" t="str">
        <f>_xlfn.IFNA(IF(VLOOKUP(TblTrvlDetails[[#This Row],[Location]],TblDom[],2,FALSE)&lt;&gt;"International","D",IF(VLOOKUP(TblTrvlDetails[[#This Row],[Location]],TblDom[],2,FALSE)="International","I","")),"")</f>
        <v/>
      </c>
      <c r="F23"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3" s="28" t="str">
        <f>IF(ISBLANK(TblTrvlDetails[[#This Row],[Rate Type]])=TRUE,"","Enter Date")</f>
        <v/>
      </c>
      <c r="H23" s="29">
        <v>0</v>
      </c>
      <c r="I23" s="29">
        <v>0</v>
      </c>
      <c r="J23" s="29">
        <v>0</v>
      </c>
      <c r="K23" s="29">
        <v>0</v>
      </c>
      <c r="L23"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0"/>
      <c r="N23" s="30"/>
      <c r="O23" s="26"/>
      <c r="P23" s="30"/>
      <c r="Q23" s="30"/>
      <c r="R23" s="30"/>
      <c r="S23" s="29">
        <f>IF(ISBLANK(TblTrvlDetails[[#This Row],[Location]]),0,IF(TblTrvlDetails[[#This Row],[D/I]]="I",VLOOKUP(TblTrvlDetails[[#This Row],[Location]],TblDom[],3,FALSE),VLOOKUP(TblTrvlDetails[[#This Row],[Location]],TblDom[],2,FALSE)))</f>
        <v>0</v>
      </c>
      <c r="T23" s="61">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3" s="61">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3" s="61">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3" s="2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3"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3" s="75">
        <v>0</v>
      </c>
      <c r="Z23" s="71" t="e">
        <f>IF(MONTH(TblTrvlDetails[[#This Row],[Travel Date
required]])&lt;10,YEAR(TblTrvlDetails[[#This Row],[Travel Date
required]]),YEAR(TblTrvlDetails[[#This Row],[Travel Date
required]])+1)</f>
        <v>#VALUE!</v>
      </c>
      <c r="AA23" s="72" t="e">
        <f>CONCATENATE(TblTrvlDetails[[#This Row],[GSA FY]],TblTrvlDetails[[#This Row],[Full Amt]])</f>
        <v>#VALUE!</v>
      </c>
    </row>
    <row r="24" spans="2:27" ht="20.45" customHeight="1" x14ac:dyDescent="0.25">
      <c r="B24" s="25"/>
      <c r="C24" s="26"/>
      <c r="D24" s="25"/>
      <c r="E24" s="27" t="str">
        <f>_xlfn.IFNA(IF(VLOOKUP(TblTrvlDetails[[#This Row],[Location]],TblDom[],2,FALSE)&lt;&gt;"International","D",IF(VLOOKUP(TblTrvlDetails[[#This Row],[Location]],TblDom[],2,FALSE)="International","I","")),"")</f>
        <v/>
      </c>
      <c r="F24"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4" s="28" t="str">
        <f>IF(ISBLANK(TblTrvlDetails[[#This Row],[Rate Type]])=TRUE,"","Enter Date")</f>
        <v/>
      </c>
      <c r="H24" s="29">
        <v>0</v>
      </c>
      <c r="I24" s="29">
        <v>0</v>
      </c>
      <c r="J24" s="29">
        <v>0</v>
      </c>
      <c r="K24" s="29">
        <v>0</v>
      </c>
      <c r="L24"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0"/>
      <c r="N24" s="30"/>
      <c r="O24" s="26"/>
      <c r="P24" s="30"/>
      <c r="Q24" s="30"/>
      <c r="R24" s="30"/>
      <c r="S24" s="29">
        <f>IF(ISBLANK(TblTrvlDetails[[#This Row],[Location]]),0,IF(TblTrvlDetails[[#This Row],[D/I]]="I",VLOOKUP(TblTrvlDetails[[#This Row],[Location]],TblDom[],3,FALSE),VLOOKUP(TblTrvlDetails[[#This Row],[Location]],TblDom[],2,FALSE)))</f>
        <v>0</v>
      </c>
      <c r="T24" s="61">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4" s="61">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4" s="61">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4" s="2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4"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4" s="75">
        <v>0</v>
      </c>
      <c r="Z24" s="71" t="e">
        <f>IF(MONTH(TblTrvlDetails[[#This Row],[Travel Date
required]])&lt;10,YEAR(TblTrvlDetails[[#This Row],[Travel Date
required]]),YEAR(TblTrvlDetails[[#This Row],[Travel Date
required]])+1)</f>
        <v>#VALUE!</v>
      </c>
      <c r="AA24" s="72" t="e">
        <f>CONCATENATE(TblTrvlDetails[[#This Row],[GSA FY]],TblTrvlDetails[[#This Row],[Full Amt]])</f>
        <v>#VALUE!</v>
      </c>
    </row>
    <row r="25" spans="2:27" ht="20.45" customHeight="1" x14ac:dyDescent="0.25">
      <c r="B25" s="25"/>
      <c r="C25" s="26"/>
      <c r="D25" s="25"/>
      <c r="E25" s="27" t="str">
        <f>_xlfn.IFNA(IF(VLOOKUP(TblTrvlDetails[[#This Row],[Location]],TblDom[],2,FALSE)&lt;&gt;"International","D",IF(VLOOKUP(TblTrvlDetails[[#This Row],[Location]],TblDom[],2,FALSE)="International","I","")),"")</f>
        <v/>
      </c>
      <c r="F25"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5" s="28" t="str">
        <f>IF(ISBLANK(TblTrvlDetails[[#This Row],[Rate Type]])=TRUE,"","Enter Date")</f>
        <v/>
      </c>
      <c r="H25" s="29">
        <v>0</v>
      </c>
      <c r="I25" s="29">
        <v>0</v>
      </c>
      <c r="J25" s="29">
        <v>0</v>
      </c>
      <c r="K25" s="29">
        <v>0</v>
      </c>
      <c r="L2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0"/>
      <c r="N25" s="30"/>
      <c r="O25" s="26"/>
      <c r="P25" s="30"/>
      <c r="Q25" s="30"/>
      <c r="R25" s="30"/>
      <c r="S25" s="29">
        <f>IF(ISBLANK(TblTrvlDetails[[#This Row],[Location]]),0,IF(TblTrvlDetails[[#This Row],[D/I]]="I",VLOOKUP(TblTrvlDetails[[#This Row],[Location]],TblDom[],3,FALSE),VLOOKUP(TblTrvlDetails[[#This Row],[Location]],TblDom[],2,FALSE)))</f>
        <v>0</v>
      </c>
      <c r="T25" s="61">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5" s="61">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5" s="61">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5" s="2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5"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5" s="75">
        <v>0</v>
      </c>
      <c r="Z25" s="71" t="e">
        <f>IF(MONTH(TblTrvlDetails[[#This Row],[Travel Date
required]])&lt;10,YEAR(TblTrvlDetails[[#This Row],[Travel Date
required]]),YEAR(TblTrvlDetails[[#This Row],[Travel Date
required]])+1)</f>
        <v>#VALUE!</v>
      </c>
      <c r="AA25" s="72" t="e">
        <f>CONCATENATE(TblTrvlDetails[[#This Row],[GSA FY]],TblTrvlDetails[[#This Row],[Full Amt]])</f>
        <v>#VALUE!</v>
      </c>
    </row>
    <row r="26" spans="2:27" ht="20.45" customHeight="1" x14ac:dyDescent="0.25">
      <c r="B26" s="25"/>
      <c r="C26" s="26"/>
      <c r="D26" s="25"/>
      <c r="E26" s="27" t="str">
        <f>_xlfn.IFNA(IF(VLOOKUP(TblTrvlDetails[[#This Row],[Location]],TblDom[],2,FALSE)&lt;&gt;"International","D",IF(VLOOKUP(TblTrvlDetails[[#This Row],[Location]],TblDom[],2,FALSE)="International","I","")),"")</f>
        <v/>
      </c>
      <c r="F26"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6" s="28" t="str">
        <f>IF(ISBLANK(TblTrvlDetails[[#This Row],[Rate Type]])=TRUE,"","Enter Date")</f>
        <v/>
      </c>
      <c r="H26" s="29">
        <v>0</v>
      </c>
      <c r="I26" s="29">
        <v>0</v>
      </c>
      <c r="J26" s="29">
        <v>0</v>
      </c>
      <c r="K26" s="29">
        <v>0</v>
      </c>
      <c r="L2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0"/>
      <c r="N26" s="30"/>
      <c r="O26" s="26"/>
      <c r="P26" s="30"/>
      <c r="Q26" s="30"/>
      <c r="R26" s="30"/>
      <c r="S26" s="29">
        <f>IF(ISBLANK(TblTrvlDetails[[#This Row],[Location]]),0,IF(TblTrvlDetails[[#This Row],[D/I]]="I",VLOOKUP(TblTrvlDetails[[#This Row],[Location]],TblDom[],3,FALSE),VLOOKUP(TblTrvlDetails[[#This Row],[Location]],TblDom[],2,FALSE)))</f>
        <v>0</v>
      </c>
      <c r="T26" s="61">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6" s="61">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6" s="61">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6" s="2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6"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6" s="75">
        <v>0</v>
      </c>
      <c r="Z26" s="71" t="e">
        <f>IF(MONTH(TblTrvlDetails[[#This Row],[Travel Date
required]])&lt;10,YEAR(TblTrvlDetails[[#This Row],[Travel Date
required]]),YEAR(TblTrvlDetails[[#This Row],[Travel Date
required]])+1)</f>
        <v>#VALUE!</v>
      </c>
      <c r="AA26" s="72" t="e">
        <f>CONCATENATE(TblTrvlDetails[[#This Row],[GSA FY]],TblTrvlDetails[[#This Row],[Full Amt]])</f>
        <v>#VALUE!</v>
      </c>
    </row>
    <row r="27" spans="2:27" ht="20.45" customHeight="1" x14ac:dyDescent="0.25">
      <c r="B27" s="25"/>
      <c r="C27" s="26"/>
      <c r="D27" s="25"/>
      <c r="E27" s="27" t="str">
        <f>_xlfn.IFNA(IF(VLOOKUP(TblTrvlDetails[[#This Row],[Location]],TblDom[],2,FALSE)&lt;&gt;"International","D",IF(VLOOKUP(TblTrvlDetails[[#This Row],[Location]],TblDom[],2,FALSE)="International","I","")),"")</f>
        <v/>
      </c>
      <c r="F27"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7" s="28" t="str">
        <f>IF(ISBLANK(TblTrvlDetails[[#This Row],[Rate Type]])=TRUE,"","Enter Date")</f>
        <v/>
      </c>
      <c r="H27" s="29">
        <v>0</v>
      </c>
      <c r="I27" s="29">
        <v>0</v>
      </c>
      <c r="J27" s="29">
        <v>0</v>
      </c>
      <c r="K27" s="29">
        <v>0</v>
      </c>
      <c r="L2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0"/>
      <c r="N27" s="30"/>
      <c r="O27" s="26"/>
      <c r="P27" s="30"/>
      <c r="Q27" s="30"/>
      <c r="R27" s="30"/>
      <c r="S27" s="29">
        <f>IF(ISBLANK(TblTrvlDetails[[#This Row],[Location]]),0,IF(TblTrvlDetails[[#This Row],[D/I]]="I",VLOOKUP(TblTrvlDetails[[#This Row],[Location]],TblDom[],3,FALSE),VLOOKUP(TblTrvlDetails[[#This Row],[Location]],TblDom[],2,FALSE)))</f>
        <v>0</v>
      </c>
      <c r="T27" s="61">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7" s="61">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7" s="61">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7" s="2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7"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7" s="75">
        <v>0</v>
      </c>
      <c r="Z27" s="71" t="e">
        <f>IF(MONTH(TblTrvlDetails[[#This Row],[Travel Date
required]])&lt;10,YEAR(TblTrvlDetails[[#This Row],[Travel Date
required]]),YEAR(TblTrvlDetails[[#This Row],[Travel Date
required]])+1)</f>
        <v>#VALUE!</v>
      </c>
      <c r="AA27" s="72" t="e">
        <f>CONCATENATE(TblTrvlDetails[[#This Row],[GSA FY]],TblTrvlDetails[[#This Row],[Full Amt]])</f>
        <v>#VALUE!</v>
      </c>
    </row>
    <row r="28" spans="2:27" ht="20.45" customHeight="1" x14ac:dyDescent="0.25">
      <c r="B28" s="25"/>
      <c r="C28" s="26"/>
      <c r="D28" s="25"/>
      <c r="E28" s="27" t="str">
        <f>_xlfn.IFNA(IF(VLOOKUP(TblTrvlDetails[[#This Row],[Location]],TblDom[],2,FALSE)&lt;&gt;"International","D",IF(VLOOKUP(TblTrvlDetails[[#This Row],[Location]],TblDom[],2,FALSE)="International","I","")),"")</f>
        <v/>
      </c>
      <c r="F28"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8" s="28" t="str">
        <f>IF(ISBLANK(TblTrvlDetails[[#This Row],[Rate Type]])=TRUE,"","Enter Date")</f>
        <v/>
      </c>
      <c r="H28" s="29">
        <v>0</v>
      </c>
      <c r="I28" s="29">
        <v>0</v>
      </c>
      <c r="J28" s="29">
        <v>0</v>
      </c>
      <c r="K28" s="29">
        <v>0</v>
      </c>
      <c r="L2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0"/>
      <c r="N28" s="30"/>
      <c r="O28" s="26"/>
      <c r="P28" s="30"/>
      <c r="Q28" s="30"/>
      <c r="R28" s="30"/>
      <c r="S28" s="29">
        <f>IF(ISBLANK(TblTrvlDetails[[#This Row],[Location]]),0,IF(TblTrvlDetails[[#This Row],[D/I]]="I",VLOOKUP(TblTrvlDetails[[#This Row],[Location]],TblDom[],3,FALSE),VLOOKUP(TblTrvlDetails[[#This Row],[Location]],TblDom[],2,FALSE)))</f>
        <v>0</v>
      </c>
      <c r="T28" s="61">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8" s="61">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8" s="61">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8" s="2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8"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8" s="75">
        <v>0</v>
      </c>
      <c r="Z28" s="71" t="e">
        <f>IF(MONTH(TblTrvlDetails[[#This Row],[Travel Date
required]])&lt;10,YEAR(TblTrvlDetails[[#This Row],[Travel Date
required]]),YEAR(TblTrvlDetails[[#This Row],[Travel Date
required]])+1)</f>
        <v>#VALUE!</v>
      </c>
      <c r="AA28" s="72" t="e">
        <f>CONCATENATE(TblTrvlDetails[[#This Row],[GSA FY]],TblTrvlDetails[[#This Row],[Full Amt]])</f>
        <v>#VALUE!</v>
      </c>
    </row>
    <row r="29" spans="2:27" ht="20.45" customHeight="1" x14ac:dyDescent="0.25">
      <c r="B29" s="25"/>
      <c r="C29" s="26"/>
      <c r="D29" s="25"/>
      <c r="E29" s="27" t="str">
        <f>_xlfn.IFNA(IF(VLOOKUP(TblTrvlDetails[[#This Row],[Location]],TblDom[],2,FALSE)&lt;&gt;"International","D",IF(VLOOKUP(TblTrvlDetails[[#This Row],[Location]],TblDom[],2,FALSE)="International","I","")),"")</f>
        <v/>
      </c>
      <c r="F29" s="27">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Row],[Location]],TblDom[],2,FALSE)&lt;=IF($G$4&lt;10/1/2024,HighestRate23,HighestRate24)))),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Row],[Location]],TblDom[],2,FALSE)&lt;=IF($G$4&lt;10/1/2024,HighestRate23,HighestRate24)))), VLOOKUP(TblTrvlDetails[[#This Row],[Location]],TblDom[],2,FALSE))))))))),0)</f>
        <v>0</v>
      </c>
      <c r="G29" s="28" t="str">
        <f>IF(ISBLANK(TblTrvlDetails[[#This Row],[Rate Type]])=TRUE,"","Enter Date")</f>
        <v/>
      </c>
      <c r="H29" s="29">
        <v>0</v>
      </c>
      <c r="I29" s="29">
        <v>0</v>
      </c>
      <c r="J29" s="29">
        <v>0</v>
      </c>
      <c r="K29" s="29">
        <v>0</v>
      </c>
      <c r="L2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0"/>
      <c r="N29" s="30"/>
      <c r="O29" s="26"/>
      <c r="P29" s="30"/>
      <c r="Q29" s="30"/>
      <c r="R29" s="30"/>
      <c r="S29" s="29">
        <f>IF(ISBLANK(TblTrvlDetails[[#This Row],[Location]]),0,IF(TblTrvlDetails[[#This Row],[D/I]]="I",VLOOKUP(TblTrvlDetails[[#This Row],[Location]],TblDom[],3,FALSE),VLOOKUP(TblTrvlDetails[[#This Row],[Location]],TblDom[],2,FALSE)))</f>
        <v>0</v>
      </c>
      <c r="T29" s="61">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Row],[Rate Unique '#]],newrate,3,0),
IF(AND(TblTrvlDetails[[#This Row],[D/I]]="D",TblTrvlDetails[[#This Row],[Rate Type]]=Data!$AC$5),VLOOKUP(TblTrvlDetails[[#This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Amt]],TblIntl2024[],2,FALSE),
IF(AND(TblTrvlDetails[[#This Row],[D/I]]="I",TblTrvlDetails[[#This Row],[M&amp;IE Rates/Day
based on Rate Type]]&lt;=265,TblTrvlDetails[[#This Row],[Rate Type]]=Data!$AC$5),VLOOKUP(TblTrvlDetails[[#This Row],[Full Amt]],TblIntl2024[],2,FALSE),
IF(AND(TblTrvlDetails[[#This Row],[D/I]]="D",TblTrvlDetails[[#This Row],[Rate Type]]=Data!$AC$4),VLOOKUP(TblTrvlDetails[[#This Row],[Rate Unique '#]],newrate,3,0),
IF(AND(TblTrvlDetails[[#This Row],[D/I]]="D",TblTrvlDetails[[#This Row],[Rate Type]]=Data!$AC$5),VLOOKUP(TblTrvlDetails[[#This Row],[Rate Unique '#]],newrate,3,0),0)))))),0))))</f>
        <v>0</v>
      </c>
      <c r="U29" s="61">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Row],[Rate Unique '#]],newrate,4,0),
IF(AND(TblTrvlDetails[[#This Row],[D/I]]="D",TblTrvlDetails[[#This Row],[Rate Type]]=Data!$AC$5),VLOOKUP(TblTrvlDetails[[#This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Amt]],TblIntl2024[],3,FALSE),
IF(AND(TblTrvlDetails[[#This Row],[D/I]]="I",TblTrvlDetails[[#This Row],[M&amp;IE Rates/Day
based on Rate Type]]&lt;=265,TblTrvlDetails[[#This Row],[Rate Type]]=Data!$AC$5),VLOOKUP(TblTrvlDetails[[#This Row],[Full Amt]],TblIntl2024[],3,FALSE),
IF(AND(TblTrvlDetails[[#This Row],[D/I]]="D",TblTrvlDetails[[#This Row],[Rate Type]]=Data!$AC$4),VLOOKUP(TblTrvlDetails[[#This Row],[Rate Unique '#]],newrate,4,0),
IF(AND(TblTrvlDetails[[#This Row],[D/I]]="D",TblTrvlDetails[[#This Row],[Rate Type]]=Data!$AC$5),VLOOKUP(TblTrvlDetails[[#This Row],[Rate Unique '#]],newrate,4,0),0)))))),0))))</f>
        <v>0</v>
      </c>
      <c r="V29" s="61">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Row],[Rate Unique '#]],newrate,5,0),
IF(AND(TblTrvlDetails[[#This Row],[D/I]]="D",TblTrvlDetails[[#This Row],[Rate Type]]=Data!$AC$5),VLOOKUP(TblTrvlDetails[[#This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Amt]],TblIntl2024[],4,FALSE),
IF(AND(TblTrvlDetails[[#This Row],[D/I]]="I",TblTrvlDetails[[#This Row],[M&amp;IE Rates/Day
based on Rate Type]]&lt;=265,TblTrvlDetails[[#This Row],[Rate Type]]=Data!$AC$5),VLOOKUP(TblTrvlDetails[[#This Row],[Full Amt]],TblIntl2024[],4,FALSE),
IF(AND(TblTrvlDetails[[#This Row],[D/I]]="D",TblTrvlDetails[[#This Row],[Rate Type]]=Data!$AC$4),VLOOKUP(TblTrvlDetails[[#This Row],[Rate Unique '#]],newrate,5,0),
IF(AND(TblTrvlDetails[[#This Row],[D/I]]="D",TblTrvlDetails[[#This Row],[Rate Type]]=Data!$AC$5),VLOOKUP(TblTrvlDetails[[#This Row],[Rate Unique '#]],newrate,5,0),0)))))),0))))</f>
        <v>0</v>
      </c>
      <c r="W29" s="2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Row],[Rate Unique '#]],newrate,6,0),
IF(AND(TblTrvlDetails[[#This Row],[D/I]]="D",TblTrvlDetails[[#This Row],[Rate Type]]=Data!$AC$5),VLOOKUP(TblTrvlDetails[[#This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Type]]=Data!$AC$4),VLOOKUP(TblTrvlDetails[[#This Row],[Full Amt]],TblIntl2024[],5,FALSE),
IF(AND(TblTrvlDetails[[#This Row],[D/I]]="I",TblTrvlDetails[[#This Row],[M&amp;IE Rates/Day
based on Rate Type]]&lt;=265,TblTrvlDetails[[#This Row],[Rate Type]]=Data!$AC$5),VLOOKUP(TblTrvlDetails[[#This Row],[Full Amt]],TblIntl2024[],5,FALSE),
IF(AND(TblTrvlDetails[[#This Row],[D/I]]="D",TblTrvlDetails[[#This Row],[Rate Type]]=Data!$AC$4),VLOOKUP(TblTrvlDetails[[#This Row],[Rate Unique '#]],newrate,6,0),
IF(AND(TblTrvlDetails[[#This Row],[D/I]]="D",TblTrvlDetails[[#This Row],[Rate Type]]=Data!$AC$5),VLOOKUP(TblTrvlDetails[[#This Row],[Rate Unique '#]],newrate,6,0),0)))))),0))))</f>
        <v>0</v>
      </c>
      <c r="X29" s="31">
        <f>SUM(IFERROR(SUMIFS(TblTrvlDetails[[#This Row],[Miles*]],TblTrvlDetails[[#This Row],[Travel Date
required]],"&lt;01/01/2025")*(VLOOKUP("Car Mileage",TblTransport[#All],2,FALSE)),0),IFERROR(SUMIFS(TblTrvlDetails[[#This Row],[Miles*]],TblTrvlDetails[[#This Row],[Travel Date
required]],"&gt;=01/01/2025")*(VLOOKUP("Car Mileage",TblTransport[#All],3,FALSE)),0),TblTrvlDetails[[#This Row],[M&amp;IE Total]:[Lodging*]],TblTrvlDetails[[#This Row],[Ground Transport*]:[Business Expense*]])</f>
        <v>0</v>
      </c>
      <c r="Y29" s="75">
        <v>0</v>
      </c>
      <c r="Z29" s="71" t="e">
        <f>IF(MONTH(TblTrvlDetails[[#This Row],[Travel Date
required]])&lt;10,YEAR(TblTrvlDetails[[#This Row],[Travel Date
required]]),YEAR(TblTrvlDetails[[#This Row],[Travel Date
required]])+1)</f>
        <v>#VALUE!</v>
      </c>
      <c r="AA29" s="72" t="e">
        <f>CONCATENATE(TblTrvlDetails[[#This Row],[GSA FY]],TblTrvlDetails[[#This Row],[Full Amt]])</f>
        <v>#VALUE!</v>
      </c>
    </row>
  </sheetData>
  <mergeCells count="11">
    <mergeCell ref="I13:K13"/>
    <mergeCell ref="C3:D3"/>
    <mergeCell ref="C4:D4"/>
    <mergeCell ref="Y2:Y4"/>
    <mergeCell ref="G3:H3"/>
    <mergeCell ref="G5:H5"/>
    <mergeCell ref="G4:H4"/>
    <mergeCell ref="L2:R3"/>
    <mergeCell ref="Q10:R11"/>
    <mergeCell ref="X10:Y11"/>
    <mergeCell ref="F11:P11"/>
  </mergeCells>
  <phoneticPr fontId="12" type="noConversion"/>
  <conditionalFormatting sqref="F4:F5">
    <cfRule type="expression" dxfId="78" priority="1">
      <formula>(ISBLANK(G4))</formula>
    </cfRule>
  </conditionalFormatting>
  <conditionalFormatting sqref="G15:G29">
    <cfRule type="containsText" dxfId="77" priority="4" operator="containsText" text="Enter Date">
      <formula>NOT(ISERROR(SEARCH("Enter Date",G15)))</formula>
    </cfRule>
  </conditionalFormatting>
  <dataValidations disablePrompts="1"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D6" r:id="rId1" display="International Rates (State Dept)" xr:uid="{21DD02F2-915F-4D90-9C34-CF297AEA1277}"/>
    <hyperlink ref="C6" r:id="rId2" xr:uid="{EAD12657-15CC-462B-8F73-3AA76AC31235}"/>
  </hyperlinks>
  <printOptions horizontalCentered="1"/>
  <pageMargins left="0.25" right="0.25" top="0.75" bottom="0.25" header="0.3" footer="0.05"/>
  <pageSetup scale="63" orientation="landscape" r:id="rId3"/>
  <headerFooter>
    <oddHeader>&amp;L&amp;G</oddHeader>
    <oddFooter>&amp;L&amp;"-,Italic"&amp;9Version 2 - 11/13/23&amp;R&amp;"-,Italic"&amp;9&amp;D&amp;T</oddFooter>
  </headerFooter>
  <ignoredErrors>
    <ignoredError sqref="G15:G29" unlockedFormula="1"/>
    <ignoredError sqref="H15:H29 I15:I29 J15:J29 K15:K29" calculatedColumn="1"/>
  </ignoredErrors>
  <drawing r:id="rId4"/>
  <legacyDrawingHF r:id="rId5"/>
  <tableParts count="2">
    <tablePart r:id="rId6"/>
    <tablePart r:id="rId7"/>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0108D65-8053-483B-9BF2-E01394D20001}">
          <x14:formula1>
            <xm:f>Data!$AC$4:$AC$6</xm:f>
          </x14:formula1>
          <xm:sqref>C15:C29</xm:sqref>
        </x14:dataValidation>
        <x14:dataValidation type="list" allowBlank="1" showInputMessage="1" showErrorMessage="1" xr:uid="{DE094C07-7717-4590-923A-2A5E75732D31}">
          <x14:formula1>
            <xm:f>IF($E$6="2023",Data!$Q$4:$Q$9,IF($E$6="2024",Data!$Q$10:$Q$15,Data!$Q$4:$Q$14))</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9" sqref="C9"/>
    </sheetView>
  </sheetViews>
  <sheetFormatPr defaultRowHeight="15" x14ac:dyDescent="0.25"/>
  <cols>
    <col min="1" max="1" width="9.140625" customWidth="1"/>
    <col min="2" max="2" width="49.85546875" customWidth="1"/>
    <col min="3" max="3" width="10.42578125" bestFit="1" customWidth="1"/>
  </cols>
  <sheetData>
    <row r="1" spans="1:3" x14ac:dyDescent="0.25">
      <c r="A1" s="65" t="s">
        <v>70</v>
      </c>
      <c r="B1" s="66" t="s">
        <v>73</v>
      </c>
      <c r="C1" s="64" t="s">
        <v>74</v>
      </c>
    </row>
    <row r="2" spans="1:3" x14ac:dyDescent="0.25">
      <c r="A2" s="78">
        <v>1</v>
      </c>
      <c r="B2" s="80" t="s">
        <v>71</v>
      </c>
      <c r="C2" s="79">
        <v>45236</v>
      </c>
    </row>
    <row r="3" spans="1:3" x14ac:dyDescent="0.25">
      <c r="A3" s="78">
        <v>2</v>
      </c>
      <c r="B3" s="80" t="s">
        <v>72</v>
      </c>
      <c r="C3" s="79">
        <v>45243</v>
      </c>
    </row>
    <row r="4" spans="1:3" ht="30" x14ac:dyDescent="0.25">
      <c r="A4" s="78">
        <v>3</v>
      </c>
      <c r="B4" s="80" t="s">
        <v>75</v>
      </c>
      <c r="C4" s="79">
        <v>45271</v>
      </c>
    </row>
    <row r="5" spans="1:3" ht="30" x14ac:dyDescent="0.25">
      <c r="A5" s="78">
        <v>4</v>
      </c>
      <c r="B5" s="80" t="s">
        <v>76</v>
      </c>
      <c r="C5" s="79">
        <v>45280</v>
      </c>
    </row>
    <row r="6" spans="1:3" ht="30" x14ac:dyDescent="0.25">
      <c r="A6" s="78">
        <v>5</v>
      </c>
      <c r="B6" s="80" t="s">
        <v>79</v>
      </c>
      <c r="C6" s="79">
        <v>45566</v>
      </c>
    </row>
    <row r="7" spans="1:3" ht="150" x14ac:dyDescent="0.25">
      <c r="A7" s="78">
        <v>6</v>
      </c>
      <c r="B7" s="80" t="s">
        <v>99</v>
      </c>
      <c r="C7" s="79">
        <v>45575</v>
      </c>
    </row>
    <row r="8" spans="1:3" ht="30" x14ac:dyDescent="0.25">
      <c r="A8" s="78">
        <v>7</v>
      </c>
      <c r="B8" s="80" t="s">
        <v>100</v>
      </c>
      <c r="C8" s="79">
        <v>45575</v>
      </c>
    </row>
    <row r="9" spans="1:3" ht="75" x14ac:dyDescent="0.25">
      <c r="A9" s="78">
        <v>8</v>
      </c>
      <c r="B9" s="80" t="s">
        <v>102</v>
      </c>
      <c r="C9" s="79">
        <v>45658</v>
      </c>
    </row>
    <row r="10" spans="1:3" x14ac:dyDescent="0.25">
      <c r="A10" s="78"/>
      <c r="B10" s="80"/>
      <c r="C10" s="81"/>
    </row>
    <row r="11" spans="1:3" x14ac:dyDescent="0.25">
      <c r="A11" s="78"/>
      <c r="B11" s="80"/>
      <c r="C11" s="81"/>
    </row>
    <row r="12" spans="1:3" x14ac:dyDescent="0.25">
      <c r="A12" s="78"/>
      <c r="B12" s="80"/>
      <c r="C12" s="81"/>
    </row>
    <row r="13" spans="1:3" x14ac:dyDescent="0.25">
      <c r="A13" s="78"/>
      <c r="B13" s="80"/>
      <c r="C13" s="81"/>
    </row>
    <row r="14" spans="1:3" x14ac:dyDescent="0.25">
      <c r="A14" s="82"/>
      <c r="B14" s="84"/>
      <c r="C14" s="83"/>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C269"/>
  <sheetViews>
    <sheetView showGridLines="0" topLeftCell="D1" workbookViewId="0">
      <selection activeCell="Z6" sqref="Z6:AA6"/>
    </sheetView>
  </sheetViews>
  <sheetFormatPr defaultRowHeight="15" x14ac:dyDescent="0.25"/>
  <cols>
    <col min="1" max="1" width="17" hidden="1" customWidth="1"/>
    <col min="2" max="2" width="7" hidden="1" customWidth="1"/>
    <col min="3" max="3" width="23" hidden="1" customWidth="1"/>
    <col min="4" max="4" width="13.7109375" style="18" customWidth="1"/>
    <col min="5" max="7" width="13.28515625" customWidth="1"/>
    <col min="8" max="8" width="13.85546875" customWidth="1"/>
    <col min="10" max="10" width="12.5703125" bestFit="1" customWidth="1"/>
    <col min="11" max="11" width="11.28515625" bestFit="1" customWidth="1"/>
    <col min="12" max="12" width="9.28515625" bestFit="1" customWidth="1"/>
    <col min="13" max="13" width="8" bestFit="1" customWidth="1"/>
    <col min="14" max="14" width="12.85546875" bestFit="1" customWidth="1"/>
    <col min="16" max="16" width="16.140625" bestFit="1" customWidth="1"/>
    <col min="18" max="18" width="12.42578125" customWidth="1"/>
    <col min="20" max="20" width="9.28515625" bestFit="1" customWidth="1"/>
    <col min="22" max="22" width="9.85546875" bestFit="1" customWidth="1"/>
    <col min="24" max="24" width="15.85546875" customWidth="1"/>
    <col min="25" max="25" width="10.28515625" customWidth="1"/>
    <col min="26" max="26" width="9" customWidth="1"/>
    <col min="28" max="28" width="22" customWidth="1"/>
    <col min="29" max="29" width="21.85546875" bestFit="1" customWidth="1"/>
  </cols>
  <sheetData>
    <row r="1" spans="1:29" ht="15.75" x14ac:dyDescent="0.25">
      <c r="D1" s="19" t="s">
        <v>26</v>
      </c>
      <c r="F1" s="67">
        <v>45200</v>
      </c>
      <c r="J1" s="19" t="s">
        <v>26</v>
      </c>
      <c r="L1" s="67">
        <v>45566</v>
      </c>
      <c r="P1" s="1" t="s">
        <v>77</v>
      </c>
      <c r="Q1">
        <v>2023</v>
      </c>
      <c r="R1" s="73">
        <v>45218</v>
      </c>
      <c r="S1">
        <v>2024</v>
      </c>
      <c r="T1" s="73">
        <v>45566</v>
      </c>
      <c r="X1" t="s">
        <v>29</v>
      </c>
    </row>
    <row r="3" spans="1:29" x14ac:dyDescent="0.25">
      <c r="A3" s="3" t="s">
        <v>15</v>
      </c>
      <c r="D3" s="16" t="s">
        <v>12</v>
      </c>
      <c r="E3" s="4" t="s">
        <v>0</v>
      </c>
      <c r="F3" s="4" t="s">
        <v>1</v>
      </c>
      <c r="G3" s="4" t="s">
        <v>2</v>
      </c>
      <c r="H3" s="5" t="s">
        <v>13</v>
      </c>
      <c r="J3" s="16" t="s">
        <v>12</v>
      </c>
      <c r="K3" s="4" t="s">
        <v>0</v>
      </c>
      <c r="L3" s="4" t="s">
        <v>1</v>
      </c>
      <c r="M3" s="4" t="s">
        <v>2</v>
      </c>
      <c r="N3" s="5" t="s">
        <v>13</v>
      </c>
      <c r="P3" s="3" t="s">
        <v>82</v>
      </c>
      <c r="Q3" s="3" t="s">
        <v>15</v>
      </c>
      <c r="R3" s="3" t="s">
        <v>23</v>
      </c>
      <c r="S3" s="3" t="s">
        <v>1</v>
      </c>
      <c r="T3" s="3" t="s">
        <v>2</v>
      </c>
      <c r="U3" s="3" t="s">
        <v>22</v>
      </c>
      <c r="V3" s="3" t="s">
        <v>9</v>
      </c>
      <c r="W3" s="3" t="s">
        <v>81</v>
      </c>
      <c r="Y3" t="s">
        <v>30</v>
      </c>
      <c r="Z3" t="s">
        <v>34</v>
      </c>
      <c r="AA3" t="s">
        <v>101</v>
      </c>
      <c r="AC3" t="s">
        <v>17</v>
      </c>
    </row>
    <row r="4" spans="1:29" x14ac:dyDescent="0.25">
      <c r="A4" s="3">
        <v>59</v>
      </c>
      <c r="D4" s="17" t="s">
        <v>14</v>
      </c>
      <c r="E4" s="6">
        <v>0.15</v>
      </c>
      <c r="F4" s="6">
        <v>0.25</v>
      </c>
      <c r="G4" s="6">
        <v>0.4</v>
      </c>
      <c r="H4" s="7">
        <v>0.2</v>
      </c>
      <c r="J4" s="17" t="s">
        <v>14</v>
      </c>
      <c r="K4" s="6">
        <v>0.15</v>
      </c>
      <c r="L4" s="6">
        <v>0.25</v>
      </c>
      <c r="M4" s="6">
        <v>0.4</v>
      </c>
      <c r="N4" s="7">
        <v>0.2</v>
      </c>
      <c r="P4" s="3" t="s">
        <v>83</v>
      </c>
      <c r="Q4" s="3">
        <v>59</v>
      </c>
      <c r="R4" s="70">
        <v>13</v>
      </c>
      <c r="S4" s="70">
        <v>15</v>
      </c>
      <c r="T4" s="70">
        <v>26</v>
      </c>
      <c r="U4" s="70">
        <v>5</v>
      </c>
      <c r="V4" s="70">
        <v>44.25</v>
      </c>
      <c r="W4" s="76" t="s">
        <v>95</v>
      </c>
      <c r="Y4" t="s">
        <v>31</v>
      </c>
      <c r="AC4" t="s">
        <v>9</v>
      </c>
    </row>
    <row r="5" spans="1:29" x14ac:dyDescent="0.25">
      <c r="A5" s="3">
        <v>64</v>
      </c>
      <c r="D5" s="8">
        <v>1</v>
      </c>
      <c r="E5" s="9">
        <v>0</v>
      </c>
      <c r="F5" s="9">
        <v>0</v>
      </c>
      <c r="G5" s="9">
        <v>0</v>
      </c>
      <c r="H5" s="10">
        <v>1</v>
      </c>
      <c r="J5" s="8">
        <v>1</v>
      </c>
      <c r="K5" s="9">
        <v>0</v>
      </c>
      <c r="L5" s="9">
        <v>0</v>
      </c>
      <c r="M5" s="9">
        <v>0</v>
      </c>
      <c r="N5" s="10">
        <v>1</v>
      </c>
      <c r="P5" s="3" t="s">
        <v>84</v>
      </c>
      <c r="Q5" s="3">
        <v>64</v>
      </c>
      <c r="R5" s="70">
        <v>14</v>
      </c>
      <c r="S5" s="70">
        <v>16</v>
      </c>
      <c r="T5" s="70">
        <v>29</v>
      </c>
      <c r="U5" s="70">
        <v>5</v>
      </c>
      <c r="V5" s="70">
        <v>48</v>
      </c>
      <c r="W5" s="76" t="s">
        <v>95</v>
      </c>
      <c r="Y5" t="s">
        <v>32</v>
      </c>
      <c r="AC5" t="s">
        <v>10</v>
      </c>
    </row>
    <row r="6" spans="1:29" x14ac:dyDescent="0.25">
      <c r="A6" s="3">
        <v>69</v>
      </c>
      <c r="D6" s="8">
        <v>2</v>
      </c>
      <c r="E6" s="9">
        <v>0</v>
      </c>
      <c r="F6" s="9">
        <v>0</v>
      </c>
      <c r="G6" s="9">
        <v>1</v>
      </c>
      <c r="H6" s="10">
        <v>1</v>
      </c>
      <c r="J6" s="8">
        <v>2</v>
      </c>
      <c r="K6" s="9">
        <v>0</v>
      </c>
      <c r="L6" s="9">
        <v>0</v>
      </c>
      <c r="M6" s="9">
        <v>1</v>
      </c>
      <c r="N6" s="10">
        <v>1</v>
      </c>
      <c r="P6" s="3" t="s">
        <v>85</v>
      </c>
      <c r="Q6" s="3">
        <v>69</v>
      </c>
      <c r="R6" s="70">
        <v>16</v>
      </c>
      <c r="S6" s="70">
        <v>17</v>
      </c>
      <c r="T6" s="70">
        <v>31</v>
      </c>
      <c r="U6" s="70">
        <v>5</v>
      </c>
      <c r="V6" s="70">
        <v>51.75</v>
      </c>
      <c r="W6" s="76" t="s">
        <v>95</v>
      </c>
      <c r="Y6" t="s">
        <v>33</v>
      </c>
      <c r="Z6" s="85">
        <v>0.67</v>
      </c>
      <c r="AA6" s="85">
        <v>0.7</v>
      </c>
      <c r="AC6" t="s">
        <v>36</v>
      </c>
    </row>
    <row r="7" spans="1:29" x14ac:dyDescent="0.25">
      <c r="A7" s="3">
        <v>74</v>
      </c>
      <c r="D7" s="8">
        <v>3</v>
      </c>
      <c r="E7" s="9">
        <v>0</v>
      </c>
      <c r="F7" s="9">
        <v>1</v>
      </c>
      <c r="G7" s="9">
        <v>1</v>
      </c>
      <c r="H7" s="10">
        <v>1</v>
      </c>
      <c r="J7" s="8">
        <v>3</v>
      </c>
      <c r="K7" s="9">
        <v>0</v>
      </c>
      <c r="L7" s="9">
        <v>1</v>
      </c>
      <c r="M7" s="9">
        <v>1</v>
      </c>
      <c r="N7" s="10">
        <v>1</v>
      </c>
      <c r="P7" s="3" t="s">
        <v>86</v>
      </c>
      <c r="Q7" s="3">
        <v>74</v>
      </c>
      <c r="R7" s="70">
        <v>17</v>
      </c>
      <c r="S7" s="70">
        <v>18</v>
      </c>
      <c r="T7" s="70">
        <v>34</v>
      </c>
      <c r="U7" s="70">
        <v>5</v>
      </c>
      <c r="V7" s="70">
        <v>55.5</v>
      </c>
      <c r="W7" s="76" t="s">
        <v>95</v>
      </c>
    </row>
    <row r="8" spans="1:29" x14ac:dyDescent="0.25">
      <c r="A8" s="3">
        <v>79</v>
      </c>
      <c r="D8" s="8">
        <v>4</v>
      </c>
      <c r="E8" s="9">
        <v>1</v>
      </c>
      <c r="F8" s="9">
        <v>1</v>
      </c>
      <c r="G8" s="9">
        <v>1</v>
      </c>
      <c r="H8" s="10">
        <v>1</v>
      </c>
      <c r="J8" s="8">
        <v>4</v>
      </c>
      <c r="K8" s="9">
        <v>1</v>
      </c>
      <c r="L8" s="9">
        <v>1</v>
      </c>
      <c r="M8" s="9">
        <v>1</v>
      </c>
      <c r="N8" s="10">
        <v>1</v>
      </c>
      <c r="P8" s="3" t="s">
        <v>87</v>
      </c>
      <c r="Q8" s="3">
        <v>79</v>
      </c>
      <c r="R8" s="70">
        <v>18</v>
      </c>
      <c r="S8" s="70">
        <v>20</v>
      </c>
      <c r="T8" s="70">
        <v>36</v>
      </c>
      <c r="U8" s="70">
        <v>5</v>
      </c>
      <c r="V8" s="70">
        <v>59.25</v>
      </c>
      <c r="W8" s="76" t="s">
        <v>95</v>
      </c>
    </row>
    <row r="9" spans="1:29" x14ac:dyDescent="0.25">
      <c r="D9" s="8">
        <v>5</v>
      </c>
      <c r="E9" s="9">
        <v>1</v>
      </c>
      <c r="F9" s="9">
        <v>1</v>
      </c>
      <c r="G9" s="9">
        <v>2</v>
      </c>
      <c r="H9" s="10">
        <v>1</v>
      </c>
      <c r="J9" s="8">
        <v>5</v>
      </c>
      <c r="K9" s="9">
        <v>1</v>
      </c>
      <c r="L9" s="9">
        <v>1</v>
      </c>
      <c r="M9" s="9">
        <v>2</v>
      </c>
      <c r="N9" s="10">
        <v>1</v>
      </c>
      <c r="P9" s="3" t="s">
        <v>19</v>
      </c>
      <c r="Q9" s="3" t="s">
        <v>19</v>
      </c>
      <c r="R9" s="70"/>
      <c r="S9" s="70"/>
      <c r="T9" s="70"/>
      <c r="U9" s="70"/>
      <c r="V9" s="70"/>
      <c r="W9" s="76"/>
    </row>
    <row r="10" spans="1:29" x14ac:dyDescent="0.25">
      <c r="D10" s="8">
        <v>6</v>
      </c>
      <c r="E10" s="9">
        <v>1</v>
      </c>
      <c r="F10" s="9">
        <v>2</v>
      </c>
      <c r="G10" s="9">
        <v>2</v>
      </c>
      <c r="H10" s="10">
        <v>1</v>
      </c>
      <c r="J10" s="8">
        <v>6</v>
      </c>
      <c r="K10" s="9">
        <v>1</v>
      </c>
      <c r="L10" s="9">
        <v>2</v>
      </c>
      <c r="M10" s="9">
        <v>2</v>
      </c>
      <c r="N10" s="10">
        <v>1</v>
      </c>
      <c r="P10" s="3" t="s">
        <v>88</v>
      </c>
      <c r="Q10" s="3">
        <v>68</v>
      </c>
      <c r="R10" s="70">
        <v>16</v>
      </c>
      <c r="S10" s="70">
        <v>19</v>
      </c>
      <c r="T10" s="70">
        <v>28</v>
      </c>
      <c r="U10" s="70">
        <v>5</v>
      </c>
      <c r="V10" s="70">
        <v>51</v>
      </c>
      <c r="W10" t="s">
        <v>96</v>
      </c>
    </row>
    <row r="11" spans="1:29" x14ac:dyDescent="0.25">
      <c r="D11" s="8">
        <v>7</v>
      </c>
      <c r="E11" s="9">
        <v>1</v>
      </c>
      <c r="F11" s="9">
        <v>2</v>
      </c>
      <c r="G11" s="9">
        <v>3</v>
      </c>
      <c r="H11" s="10">
        <v>1</v>
      </c>
      <c r="J11" s="8">
        <v>7</v>
      </c>
      <c r="K11" s="9">
        <v>1</v>
      </c>
      <c r="L11" s="9">
        <v>2</v>
      </c>
      <c r="M11" s="9">
        <v>3</v>
      </c>
      <c r="N11" s="10">
        <v>1</v>
      </c>
      <c r="P11" s="3" t="s">
        <v>89</v>
      </c>
      <c r="Q11" s="3">
        <v>74</v>
      </c>
      <c r="R11" s="70">
        <v>18</v>
      </c>
      <c r="S11" s="70">
        <v>20</v>
      </c>
      <c r="T11" s="70">
        <v>31</v>
      </c>
      <c r="U11" s="70">
        <v>5</v>
      </c>
      <c r="V11" s="70">
        <v>55.5</v>
      </c>
      <c r="W11" t="s">
        <v>96</v>
      </c>
    </row>
    <row r="12" spans="1:29" x14ac:dyDescent="0.25">
      <c r="D12" s="8">
        <v>8</v>
      </c>
      <c r="E12" s="9">
        <v>1</v>
      </c>
      <c r="F12" s="9">
        <v>2</v>
      </c>
      <c r="G12" s="9">
        <v>3</v>
      </c>
      <c r="H12" s="10">
        <v>2</v>
      </c>
      <c r="J12" s="8">
        <v>8</v>
      </c>
      <c r="K12" s="9">
        <v>1</v>
      </c>
      <c r="L12" s="9">
        <v>2</v>
      </c>
      <c r="M12" s="9">
        <v>3</v>
      </c>
      <c r="N12" s="10">
        <v>2</v>
      </c>
      <c r="P12" s="3" t="s">
        <v>90</v>
      </c>
      <c r="Q12" s="3">
        <v>80</v>
      </c>
      <c r="R12" s="70">
        <v>20</v>
      </c>
      <c r="S12" s="70">
        <v>22</v>
      </c>
      <c r="T12" s="70">
        <v>33</v>
      </c>
      <c r="U12" s="70">
        <v>5</v>
      </c>
      <c r="V12" s="70">
        <v>60</v>
      </c>
      <c r="W12" t="s">
        <v>96</v>
      </c>
    </row>
    <row r="13" spans="1:29" x14ac:dyDescent="0.25">
      <c r="D13" s="8">
        <v>9</v>
      </c>
      <c r="E13" s="9">
        <v>1</v>
      </c>
      <c r="F13" s="9">
        <v>2</v>
      </c>
      <c r="G13" s="9">
        <v>4</v>
      </c>
      <c r="H13" s="10">
        <v>2</v>
      </c>
      <c r="J13" s="8">
        <v>9</v>
      </c>
      <c r="K13" s="9">
        <v>1</v>
      </c>
      <c r="L13" s="9">
        <v>2</v>
      </c>
      <c r="M13" s="9">
        <v>4</v>
      </c>
      <c r="N13" s="10">
        <v>2</v>
      </c>
      <c r="P13" s="3" t="s">
        <v>91</v>
      </c>
      <c r="Q13" s="3">
        <v>86</v>
      </c>
      <c r="R13" s="70">
        <v>22</v>
      </c>
      <c r="S13" s="70">
        <v>23</v>
      </c>
      <c r="T13" s="70">
        <v>36</v>
      </c>
      <c r="U13" s="70">
        <v>5</v>
      </c>
      <c r="V13" s="70">
        <v>64.5</v>
      </c>
      <c r="W13" t="s">
        <v>96</v>
      </c>
    </row>
    <row r="14" spans="1:29" x14ac:dyDescent="0.25">
      <c r="D14" s="8">
        <v>10</v>
      </c>
      <c r="E14" s="9">
        <v>2</v>
      </c>
      <c r="F14" s="9">
        <v>2</v>
      </c>
      <c r="G14" s="9">
        <v>4</v>
      </c>
      <c r="H14" s="10">
        <v>2</v>
      </c>
      <c r="J14" s="8">
        <v>10</v>
      </c>
      <c r="K14" s="9">
        <v>2</v>
      </c>
      <c r="L14" s="9">
        <v>2</v>
      </c>
      <c r="M14" s="9">
        <v>4</v>
      </c>
      <c r="N14" s="10">
        <v>2</v>
      </c>
      <c r="P14" s="3" t="s">
        <v>92</v>
      </c>
      <c r="Q14" s="3">
        <v>92</v>
      </c>
      <c r="R14" s="70">
        <v>23</v>
      </c>
      <c r="S14" s="70">
        <v>26</v>
      </c>
      <c r="T14" s="70">
        <v>38</v>
      </c>
      <c r="U14" s="70">
        <v>5</v>
      </c>
      <c r="V14" s="70">
        <v>69</v>
      </c>
      <c r="W14" t="s">
        <v>96</v>
      </c>
    </row>
    <row r="15" spans="1:29" x14ac:dyDescent="0.25">
      <c r="D15" s="8">
        <v>11</v>
      </c>
      <c r="E15" s="9">
        <v>2</v>
      </c>
      <c r="F15" s="9">
        <v>3</v>
      </c>
      <c r="G15" s="9">
        <v>4</v>
      </c>
      <c r="H15" s="10">
        <v>2</v>
      </c>
      <c r="J15" s="8">
        <v>11</v>
      </c>
      <c r="K15" s="9">
        <v>2</v>
      </c>
      <c r="L15" s="9">
        <v>3</v>
      </c>
      <c r="M15" s="9">
        <v>4</v>
      </c>
      <c r="N15" s="10">
        <v>2</v>
      </c>
      <c r="P15" s="3" t="s">
        <v>19</v>
      </c>
      <c r="Q15" s="3" t="s">
        <v>19</v>
      </c>
      <c r="R15" s="3"/>
      <c r="S15" s="3"/>
      <c r="T15" s="3"/>
      <c r="U15" s="3"/>
      <c r="V15" s="3"/>
    </row>
    <row r="16" spans="1:29"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2.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3.xml><?xml version="1.0" encoding="utf-8"?>
<ds:datastoreItem xmlns:ds="http://schemas.openxmlformats.org/officeDocument/2006/customXml" ds:itemID="{13511531-B769-4929-806F-2A05A4882D77}">
  <ds:schemaRefs>
    <ds:schemaRef ds:uri="http://purl.org/dc/terms/"/>
    <ds:schemaRef ds:uri="http://schemas.microsoft.com/office/2006/documentManagement/types"/>
    <ds:schemaRef ds:uri="http://purl.org/dc/elements/1.1/"/>
    <ds:schemaRef ds:uri="54c9f48a-5cd9-41d9-b6c2-36466c55415e"/>
    <ds:schemaRef ds:uri="http://schemas.microsoft.com/office/2006/metadata/properties"/>
    <ds:schemaRef ds:uri="http://schemas.microsoft.com/office/infopath/2007/PartnerControls"/>
    <ds:schemaRef ds:uri="c8cd16cf-b28a-4d08-8e2d-9d89ab9eec4e"/>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Travel Claim Worksheet</vt:lpstr>
      <vt:lpstr>Versions</vt:lpstr>
      <vt:lpstr>Data</vt:lpstr>
      <vt:lpstr>HighestRate23</vt:lpstr>
      <vt:lpstr>HighestRate24</vt:lpstr>
      <vt:lpstr>MileageRate</vt:lpstr>
      <vt:lpstr>MileageRateNew</vt:lpstr>
      <vt:lpstr>newrate</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Joy Sun</cp:lastModifiedBy>
  <cp:lastPrinted>2024-10-03T02:01:27Z</cp:lastPrinted>
  <dcterms:created xsi:type="dcterms:W3CDTF">2023-10-16T18:04:08Z</dcterms:created>
  <dcterms:modified xsi:type="dcterms:W3CDTF">2025-03-03T23:48:19Z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